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filterPrivacy="1" hidePivotFieldList="1" defaultThemeVersion="124226"/>
  <xr:revisionPtr revIDLastSave="0" documentId="13_ncr:1_{96F8E053-627A-4CAA-B48A-3BDE9980D1A6}" xr6:coauthVersionLast="45" xr6:coauthVersionMax="45" xr10:uidLastSave="{00000000-0000-0000-0000-000000000000}"/>
  <bookViews>
    <workbookView xWindow="-120" yWindow="-120" windowWidth="20730" windowHeight="11160" tabRatio="770" xr2:uid="{00000000-000D-0000-FFFF-FFFF00000000}"/>
  </bookViews>
  <sheets>
    <sheet name="Round 115" sheetId="14" r:id="rId1"/>
    <sheet name="Summary" sheetId="13" r:id="rId2"/>
    <sheet name="RETURNEE DATASET" sheetId="1" r:id="rId3"/>
    <sheet name="Period Of Displacement" sheetId="3" r:id="rId4"/>
    <sheet name="Shelter Type by Gov of Return" sheetId="10" r:id="rId5"/>
  </sheets>
  <definedNames>
    <definedName name="_xlnm._FilterDatabase" localSheetId="2" hidden="1">'RETURNEE DATASET'!$A$3:$AY$2030</definedName>
    <definedName name="District_of_Return">Summary!$A$62:$D$101</definedName>
    <definedName name="Former_Displacement_Governorate_of_Return">Summary!$A$33:$K$44</definedName>
    <definedName name="Gov_Last_Disp">Summary!$A$20:$T$31</definedName>
    <definedName name="Period_Fromer_Displacement">Summary!$A$48:$D$59</definedName>
    <definedName name="Shelter_Type">Summary!$A$8:$M$18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Y1270" i="1" l="1"/>
  <c r="AX1270" i="1"/>
  <c r="AW1270" i="1"/>
  <c r="B2" i="13" l="1" a="1"/>
  <c r="B2" i="13" s="1"/>
  <c r="AW4" i="1"/>
  <c r="AX4" i="1"/>
  <c r="AY4" i="1"/>
  <c r="AW5" i="1"/>
  <c r="AX5" i="1"/>
  <c r="AY5" i="1"/>
  <c r="AW6" i="1"/>
  <c r="AX6" i="1"/>
  <c r="AY6" i="1"/>
  <c r="AW7" i="1"/>
  <c r="AX7" i="1"/>
  <c r="AY7" i="1"/>
  <c r="AW8" i="1"/>
  <c r="AX8" i="1"/>
  <c r="AY8" i="1"/>
  <c r="AW9" i="1"/>
  <c r="AX9" i="1"/>
  <c r="AY9" i="1"/>
  <c r="AW10" i="1"/>
  <c r="AX10" i="1"/>
  <c r="AY10" i="1"/>
  <c r="AW11" i="1"/>
  <c r="AX11" i="1"/>
  <c r="AY11" i="1"/>
  <c r="AW12" i="1"/>
  <c r="AX12" i="1"/>
  <c r="AY12" i="1"/>
  <c r="AW13" i="1"/>
  <c r="AX13" i="1"/>
  <c r="AY13" i="1"/>
  <c r="AW14" i="1"/>
  <c r="AX14" i="1"/>
  <c r="AY14" i="1"/>
  <c r="AW15" i="1"/>
  <c r="AX15" i="1"/>
  <c r="AY15" i="1"/>
  <c r="AW16" i="1"/>
  <c r="AX16" i="1"/>
  <c r="AY16" i="1"/>
  <c r="AW17" i="1"/>
  <c r="AX17" i="1"/>
  <c r="AY17" i="1"/>
  <c r="AW18" i="1"/>
  <c r="AX18" i="1"/>
  <c r="AY18" i="1"/>
  <c r="AW19" i="1"/>
  <c r="AX19" i="1"/>
  <c r="AY19" i="1"/>
  <c r="AW20" i="1"/>
  <c r="AX20" i="1"/>
  <c r="AY20" i="1"/>
  <c r="AW21" i="1"/>
  <c r="AX21" i="1"/>
  <c r="AY21" i="1"/>
  <c r="AW22" i="1"/>
  <c r="AX22" i="1"/>
  <c r="AY22" i="1"/>
  <c r="AW23" i="1"/>
  <c r="AX23" i="1"/>
  <c r="AY23" i="1"/>
  <c r="AW24" i="1"/>
  <c r="AX24" i="1"/>
  <c r="AY24" i="1"/>
  <c r="AW25" i="1"/>
  <c r="AX25" i="1"/>
  <c r="AY25" i="1"/>
  <c r="AW26" i="1"/>
  <c r="AX26" i="1"/>
  <c r="AY26" i="1"/>
  <c r="AW27" i="1"/>
  <c r="AX27" i="1"/>
  <c r="AY27" i="1"/>
  <c r="AW28" i="1"/>
  <c r="AX28" i="1"/>
  <c r="AY28" i="1"/>
  <c r="AW29" i="1"/>
  <c r="AX29" i="1"/>
  <c r="AY29" i="1"/>
  <c r="AW30" i="1"/>
  <c r="AX30" i="1"/>
  <c r="AY30" i="1"/>
  <c r="AW31" i="1"/>
  <c r="AX31" i="1"/>
  <c r="AY31" i="1"/>
  <c r="AW32" i="1"/>
  <c r="AX32" i="1"/>
  <c r="AY32" i="1"/>
  <c r="AW33" i="1"/>
  <c r="AX33" i="1"/>
  <c r="AY33" i="1"/>
  <c r="AW34" i="1"/>
  <c r="AX34" i="1"/>
  <c r="AY34" i="1"/>
  <c r="AW35" i="1"/>
  <c r="AX35" i="1"/>
  <c r="AY35" i="1"/>
  <c r="AW36" i="1"/>
  <c r="AX36" i="1"/>
  <c r="AY36" i="1"/>
  <c r="AW37" i="1"/>
  <c r="AX37" i="1"/>
  <c r="AY37" i="1"/>
  <c r="AW38" i="1"/>
  <c r="AX38" i="1"/>
  <c r="AY38" i="1"/>
  <c r="AW39" i="1"/>
  <c r="AX39" i="1"/>
  <c r="AY39" i="1"/>
  <c r="AW40" i="1"/>
  <c r="AX40" i="1"/>
  <c r="AY40" i="1"/>
  <c r="AW41" i="1"/>
  <c r="AX41" i="1"/>
  <c r="AY41" i="1"/>
  <c r="AW42" i="1"/>
  <c r="AX42" i="1"/>
  <c r="AY42" i="1"/>
  <c r="AW43" i="1"/>
  <c r="AX43" i="1"/>
  <c r="AY43" i="1"/>
  <c r="AW44" i="1"/>
  <c r="AX44" i="1"/>
  <c r="AY44" i="1"/>
  <c r="AW45" i="1"/>
  <c r="AX45" i="1"/>
  <c r="AY45" i="1"/>
  <c r="AW46" i="1"/>
  <c r="AX46" i="1"/>
  <c r="AY46" i="1"/>
  <c r="AW47" i="1"/>
  <c r="AX47" i="1"/>
  <c r="AY47" i="1"/>
  <c r="AW48" i="1"/>
  <c r="AX48" i="1"/>
  <c r="AY48" i="1"/>
  <c r="AW49" i="1"/>
  <c r="AX49" i="1"/>
  <c r="AY49" i="1"/>
  <c r="AW50" i="1"/>
  <c r="AX50" i="1"/>
  <c r="AY50" i="1"/>
  <c r="AW51" i="1"/>
  <c r="AX51" i="1"/>
  <c r="AY51" i="1"/>
  <c r="AW52" i="1"/>
  <c r="AX52" i="1"/>
  <c r="AY52" i="1"/>
  <c r="AW53" i="1"/>
  <c r="AX53" i="1"/>
  <c r="AY53" i="1"/>
  <c r="AW54" i="1"/>
  <c r="AX54" i="1"/>
  <c r="AY54" i="1"/>
  <c r="AW55" i="1"/>
  <c r="AX55" i="1"/>
  <c r="AY55" i="1"/>
  <c r="AW56" i="1"/>
  <c r="AX56" i="1"/>
  <c r="AY56" i="1"/>
  <c r="AW57" i="1"/>
  <c r="AX57" i="1"/>
  <c r="AY57" i="1"/>
  <c r="AW58" i="1"/>
  <c r="AX58" i="1"/>
  <c r="AY58" i="1"/>
  <c r="AW59" i="1"/>
  <c r="AX59" i="1"/>
  <c r="AY59" i="1"/>
  <c r="AW60" i="1"/>
  <c r="AX60" i="1"/>
  <c r="AY60" i="1"/>
  <c r="AW61" i="1"/>
  <c r="AX61" i="1"/>
  <c r="AY61" i="1"/>
  <c r="AW62" i="1"/>
  <c r="AX62" i="1"/>
  <c r="AY62" i="1"/>
  <c r="AW63" i="1"/>
  <c r="AX63" i="1"/>
  <c r="AY63" i="1"/>
  <c r="AW64" i="1"/>
  <c r="AX64" i="1"/>
  <c r="AY64" i="1"/>
  <c r="AW65" i="1"/>
  <c r="AX65" i="1"/>
  <c r="AY65" i="1"/>
  <c r="AW66" i="1"/>
  <c r="AX66" i="1"/>
  <c r="AY66" i="1"/>
  <c r="AW67" i="1"/>
  <c r="AX67" i="1"/>
  <c r="AY67" i="1"/>
  <c r="AW68" i="1"/>
  <c r="AX68" i="1"/>
  <c r="AY68" i="1"/>
  <c r="AW69" i="1"/>
  <c r="AX69" i="1"/>
  <c r="AY69" i="1"/>
  <c r="AW70" i="1"/>
  <c r="AX70" i="1"/>
  <c r="AY70" i="1"/>
  <c r="AW71" i="1"/>
  <c r="AX71" i="1"/>
  <c r="AY71" i="1"/>
  <c r="AW72" i="1"/>
  <c r="AX72" i="1"/>
  <c r="AY72" i="1"/>
  <c r="AW73" i="1"/>
  <c r="AX73" i="1"/>
  <c r="AY73" i="1"/>
  <c r="AW74" i="1"/>
  <c r="AX74" i="1"/>
  <c r="AY74" i="1"/>
  <c r="AW75" i="1"/>
  <c r="AX75" i="1"/>
  <c r="AY75" i="1"/>
  <c r="AW76" i="1"/>
  <c r="AX76" i="1"/>
  <c r="AY76" i="1"/>
  <c r="AW77" i="1"/>
  <c r="AX77" i="1"/>
  <c r="AY77" i="1"/>
  <c r="AW78" i="1"/>
  <c r="AX78" i="1"/>
  <c r="AY78" i="1"/>
  <c r="AW79" i="1"/>
  <c r="AX79" i="1"/>
  <c r="AY79" i="1"/>
  <c r="AW80" i="1"/>
  <c r="AX80" i="1"/>
  <c r="AY80" i="1"/>
  <c r="AW81" i="1"/>
  <c r="AX81" i="1"/>
  <c r="AY81" i="1"/>
  <c r="AW82" i="1"/>
  <c r="AX82" i="1"/>
  <c r="AY82" i="1"/>
  <c r="AW83" i="1"/>
  <c r="AX83" i="1"/>
  <c r="AY83" i="1"/>
  <c r="AW84" i="1"/>
  <c r="AX84" i="1"/>
  <c r="AY84" i="1"/>
  <c r="AW85" i="1"/>
  <c r="AX85" i="1"/>
  <c r="AY85" i="1"/>
  <c r="AW86" i="1"/>
  <c r="AX86" i="1"/>
  <c r="AY86" i="1"/>
  <c r="AW87" i="1"/>
  <c r="AX87" i="1"/>
  <c r="AY87" i="1"/>
  <c r="AW88" i="1"/>
  <c r="AX88" i="1"/>
  <c r="AY88" i="1"/>
  <c r="AW89" i="1"/>
  <c r="AX89" i="1"/>
  <c r="AY89" i="1"/>
  <c r="AW90" i="1"/>
  <c r="AX90" i="1"/>
  <c r="AY90" i="1"/>
  <c r="AW91" i="1"/>
  <c r="AX91" i="1"/>
  <c r="AY91" i="1"/>
  <c r="AW92" i="1"/>
  <c r="AX92" i="1"/>
  <c r="AY92" i="1"/>
  <c r="AW93" i="1"/>
  <c r="AX93" i="1"/>
  <c r="AY93" i="1"/>
  <c r="AW94" i="1"/>
  <c r="AX94" i="1"/>
  <c r="AY94" i="1"/>
  <c r="AW95" i="1"/>
  <c r="AX95" i="1"/>
  <c r="AY95" i="1"/>
  <c r="AW96" i="1"/>
  <c r="AX96" i="1"/>
  <c r="AY96" i="1"/>
  <c r="AW97" i="1"/>
  <c r="AX97" i="1"/>
  <c r="AY97" i="1"/>
  <c r="AW98" i="1"/>
  <c r="AX98" i="1"/>
  <c r="AY98" i="1"/>
  <c r="AW99" i="1"/>
  <c r="AX99" i="1"/>
  <c r="AY99" i="1"/>
  <c r="AW100" i="1"/>
  <c r="AX100" i="1"/>
  <c r="AY100" i="1"/>
  <c r="AW101" i="1"/>
  <c r="AX101" i="1"/>
  <c r="AY101" i="1"/>
  <c r="AW102" i="1"/>
  <c r="AX102" i="1"/>
  <c r="AY102" i="1"/>
  <c r="AW103" i="1"/>
  <c r="AX103" i="1"/>
  <c r="AY103" i="1"/>
  <c r="AW104" i="1"/>
  <c r="AX104" i="1"/>
  <c r="AY104" i="1"/>
  <c r="AW105" i="1"/>
  <c r="AX105" i="1"/>
  <c r="AY105" i="1"/>
  <c r="AW106" i="1"/>
  <c r="AX106" i="1"/>
  <c r="AY106" i="1"/>
  <c r="AW107" i="1"/>
  <c r="AX107" i="1"/>
  <c r="AY107" i="1"/>
  <c r="AW108" i="1"/>
  <c r="AX108" i="1"/>
  <c r="AY108" i="1"/>
  <c r="AW109" i="1"/>
  <c r="AX109" i="1"/>
  <c r="AY109" i="1"/>
  <c r="AW110" i="1"/>
  <c r="AX110" i="1"/>
  <c r="AY110" i="1"/>
  <c r="AW111" i="1"/>
  <c r="AX111" i="1"/>
  <c r="AY111" i="1"/>
  <c r="AW112" i="1"/>
  <c r="AX112" i="1"/>
  <c r="AY112" i="1"/>
  <c r="AW113" i="1"/>
  <c r="AX113" i="1"/>
  <c r="AY113" i="1"/>
  <c r="AW114" i="1"/>
  <c r="AX114" i="1"/>
  <c r="AY114" i="1"/>
  <c r="AW115" i="1"/>
  <c r="AX115" i="1"/>
  <c r="AY115" i="1"/>
  <c r="AW116" i="1"/>
  <c r="AX116" i="1"/>
  <c r="AY116" i="1"/>
  <c r="AW117" i="1"/>
  <c r="AX117" i="1"/>
  <c r="AY117" i="1"/>
  <c r="AW118" i="1"/>
  <c r="AX118" i="1"/>
  <c r="AY118" i="1"/>
  <c r="AW119" i="1"/>
  <c r="AX119" i="1"/>
  <c r="AY119" i="1"/>
  <c r="AW120" i="1"/>
  <c r="AX120" i="1"/>
  <c r="AY120" i="1"/>
  <c r="AW121" i="1"/>
  <c r="AX121" i="1"/>
  <c r="AY121" i="1"/>
  <c r="AW122" i="1"/>
  <c r="AX122" i="1"/>
  <c r="AY122" i="1"/>
  <c r="AW123" i="1"/>
  <c r="AX123" i="1"/>
  <c r="AY123" i="1"/>
  <c r="AW124" i="1"/>
  <c r="AX124" i="1"/>
  <c r="AY124" i="1"/>
  <c r="AW125" i="1"/>
  <c r="AX125" i="1"/>
  <c r="AY125" i="1"/>
  <c r="AW126" i="1"/>
  <c r="AX126" i="1"/>
  <c r="AY126" i="1"/>
  <c r="AW127" i="1"/>
  <c r="AX127" i="1"/>
  <c r="AY127" i="1"/>
  <c r="AW128" i="1"/>
  <c r="AX128" i="1"/>
  <c r="AY128" i="1"/>
  <c r="AW129" i="1"/>
  <c r="AX129" i="1"/>
  <c r="AY129" i="1"/>
  <c r="AW130" i="1"/>
  <c r="AX130" i="1"/>
  <c r="AY130" i="1"/>
  <c r="AW131" i="1"/>
  <c r="AX131" i="1"/>
  <c r="AY131" i="1"/>
  <c r="AW132" i="1"/>
  <c r="AX132" i="1"/>
  <c r="AY132" i="1"/>
  <c r="AW133" i="1"/>
  <c r="AX133" i="1"/>
  <c r="AY133" i="1"/>
  <c r="AW134" i="1"/>
  <c r="AX134" i="1"/>
  <c r="AY134" i="1"/>
  <c r="AW135" i="1"/>
  <c r="AX135" i="1"/>
  <c r="AY135" i="1"/>
  <c r="AW136" i="1"/>
  <c r="AX136" i="1"/>
  <c r="AY136" i="1"/>
  <c r="AW137" i="1"/>
  <c r="AX137" i="1"/>
  <c r="AY137" i="1"/>
  <c r="AW138" i="1"/>
  <c r="AX138" i="1"/>
  <c r="AY138" i="1"/>
  <c r="AW139" i="1"/>
  <c r="AX139" i="1"/>
  <c r="AY139" i="1"/>
  <c r="AW140" i="1"/>
  <c r="AX140" i="1"/>
  <c r="AY140" i="1"/>
  <c r="AW141" i="1"/>
  <c r="AX141" i="1"/>
  <c r="AY141" i="1"/>
  <c r="AW142" i="1"/>
  <c r="AX142" i="1"/>
  <c r="AY142" i="1"/>
  <c r="AW143" i="1"/>
  <c r="AX143" i="1"/>
  <c r="AY143" i="1"/>
  <c r="AW144" i="1"/>
  <c r="AX144" i="1"/>
  <c r="AY144" i="1"/>
  <c r="AW145" i="1"/>
  <c r="AX145" i="1"/>
  <c r="AY145" i="1"/>
  <c r="AW146" i="1"/>
  <c r="AX146" i="1"/>
  <c r="AY146" i="1"/>
  <c r="AW147" i="1"/>
  <c r="AX147" i="1"/>
  <c r="AY147" i="1"/>
  <c r="AW148" i="1"/>
  <c r="AX148" i="1"/>
  <c r="AY148" i="1"/>
  <c r="AW149" i="1"/>
  <c r="AX149" i="1"/>
  <c r="AY149" i="1"/>
  <c r="AW150" i="1"/>
  <c r="AX150" i="1"/>
  <c r="AY150" i="1"/>
  <c r="AW151" i="1"/>
  <c r="AX151" i="1"/>
  <c r="AY151" i="1"/>
  <c r="AW152" i="1"/>
  <c r="AX152" i="1"/>
  <c r="AY152" i="1"/>
  <c r="AW153" i="1"/>
  <c r="AX153" i="1"/>
  <c r="AY153" i="1"/>
  <c r="AW154" i="1"/>
  <c r="AX154" i="1"/>
  <c r="AY154" i="1"/>
  <c r="AW155" i="1"/>
  <c r="AX155" i="1"/>
  <c r="AY155" i="1"/>
  <c r="AW156" i="1"/>
  <c r="AX156" i="1"/>
  <c r="AY156" i="1"/>
  <c r="AW157" i="1"/>
  <c r="AX157" i="1"/>
  <c r="AY157" i="1"/>
  <c r="AW158" i="1"/>
  <c r="AX158" i="1"/>
  <c r="AY158" i="1"/>
  <c r="AW159" i="1"/>
  <c r="AX159" i="1"/>
  <c r="AY159" i="1"/>
  <c r="AW160" i="1"/>
  <c r="AX160" i="1"/>
  <c r="AY160" i="1"/>
  <c r="AW161" i="1"/>
  <c r="AX161" i="1"/>
  <c r="AY161" i="1"/>
  <c r="AW162" i="1"/>
  <c r="AX162" i="1"/>
  <c r="AY162" i="1"/>
  <c r="AW163" i="1"/>
  <c r="AX163" i="1"/>
  <c r="AY163" i="1"/>
  <c r="AW164" i="1"/>
  <c r="AX164" i="1"/>
  <c r="AY164" i="1"/>
  <c r="AW165" i="1"/>
  <c r="AX165" i="1"/>
  <c r="AY165" i="1"/>
  <c r="AW166" i="1"/>
  <c r="AX166" i="1"/>
  <c r="AY166" i="1"/>
  <c r="AW167" i="1"/>
  <c r="AX167" i="1"/>
  <c r="AY167" i="1"/>
  <c r="AW168" i="1"/>
  <c r="AX168" i="1"/>
  <c r="AY168" i="1"/>
  <c r="AW169" i="1"/>
  <c r="AX169" i="1"/>
  <c r="AY169" i="1"/>
  <c r="AW170" i="1"/>
  <c r="AX170" i="1"/>
  <c r="AY170" i="1"/>
  <c r="AW171" i="1"/>
  <c r="AX171" i="1"/>
  <c r="AY171" i="1"/>
  <c r="AW172" i="1"/>
  <c r="AX172" i="1"/>
  <c r="AY172" i="1"/>
  <c r="AW173" i="1"/>
  <c r="AX173" i="1"/>
  <c r="AY173" i="1"/>
  <c r="AW174" i="1"/>
  <c r="AX174" i="1"/>
  <c r="AY174" i="1"/>
  <c r="AW175" i="1"/>
  <c r="AX175" i="1"/>
  <c r="AY175" i="1"/>
  <c r="AW176" i="1"/>
  <c r="AX176" i="1"/>
  <c r="AY176" i="1"/>
  <c r="AW177" i="1"/>
  <c r="AX177" i="1"/>
  <c r="AY177" i="1"/>
  <c r="AW178" i="1"/>
  <c r="AX178" i="1"/>
  <c r="AY178" i="1"/>
  <c r="AW179" i="1"/>
  <c r="AX179" i="1"/>
  <c r="AY179" i="1"/>
  <c r="AW180" i="1"/>
  <c r="AX180" i="1"/>
  <c r="AY180" i="1"/>
  <c r="AW181" i="1"/>
  <c r="AX181" i="1"/>
  <c r="AY181" i="1"/>
  <c r="AW182" i="1"/>
  <c r="AX182" i="1"/>
  <c r="AY182" i="1"/>
  <c r="AW183" i="1"/>
  <c r="AX183" i="1"/>
  <c r="AY183" i="1"/>
  <c r="AW184" i="1"/>
  <c r="AX184" i="1"/>
  <c r="AY184" i="1"/>
  <c r="AW185" i="1"/>
  <c r="AX185" i="1"/>
  <c r="AY185" i="1"/>
  <c r="AW186" i="1"/>
  <c r="AX186" i="1"/>
  <c r="AY186" i="1"/>
  <c r="AW187" i="1"/>
  <c r="AX187" i="1"/>
  <c r="AY187" i="1"/>
  <c r="AW188" i="1"/>
  <c r="AX188" i="1"/>
  <c r="AY188" i="1"/>
  <c r="AW189" i="1"/>
  <c r="AX189" i="1"/>
  <c r="AY189" i="1"/>
  <c r="AW190" i="1"/>
  <c r="AX190" i="1"/>
  <c r="AY190" i="1"/>
  <c r="AW191" i="1"/>
  <c r="AX191" i="1"/>
  <c r="AY191" i="1"/>
  <c r="AW192" i="1"/>
  <c r="AX192" i="1"/>
  <c r="AY192" i="1"/>
  <c r="AW193" i="1"/>
  <c r="AX193" i="1"/>
  <c r="AY193" i="1"/>
  <c r="AW194" i="1"/>
  <c r="AX194" i="1"/>
  <c r="AY194" i="1"/>
  <c r="AW195" i="1"/>
  <c r="AX195" i="1"/>
  <c r="AY195" i="1"/>
  <c r="AW196" i="1"/>
  <c r="AX196" i="1"/>
  <c r="AY196" i="1"/>
  <c r="AW197" i="1"/>
  <c r="AX197" i="1"/>
  <c r="AY197" i="1"/>
  <c r="AW198" i="1"/>
  <c r="AX198" i="1"/>
  <c r="AY198" i="1"/>
  <c r="AW199" i="1"/>
  <c r="AX199" i="1"/>
  <c r="AY199" i="1"/>
  <c r="AW200" i="1"/>
  <c r="AX200" i="1"/>
  <c r="AY200" i="1"/>
  <c r="AW201" i="1"/>
  <c r="AX201" i="1"/>
  <c r="AY201" i="1"/>
  <c r="AW202" i="1"/>
  <c r="AX202" i="1"/>
  <c r="AY202" i="1"/>
  <c r="AW203" i="1"/>
  <c r="AX203" i="1"/>
  <c r="AY203" i="1"/>
  <c r="AW204" i="1"/>
  <c r="AX204" i="1"/>
  <c r="AY204" i="1"/>
  <c r="AW205" i="1"/>
  <c r="AX205" i="1"/>
  <c r="AY205" i="1"/>
  <c r="AW206" i="1"/>
  <c r="AX206" i="1"/>
  <c r="AY206" i="1"/>
  <c r="AW207" i="1"/>
  <c r="AX207" i="1"/>
  <c r="AY207" i="1"/>
  <c r="AW208" i="1"/>
  <c r="AX208" i="1"/>
  <c r="AY208" i="1"/>
  <c r="AW209" i="1"/>
  <c r="AX209" i="1"/>
  <c r="AY209" i="1"/>
  <c r="AW210" i="1"/>
  <c r="AX210" i="1"/>
  <c r="AY210" i="1"/>
  <c r="AW211" i="1"/>
  <c r="AX211" i="1"/>
  <c r="AY211" i="1"/>
  <c r="AW212" i="1"/>
  <c r="AX212" i="1"/>
  <c r="AY212" i="1"/>
  <c r="AW213" i="1"/>
  <c r="AX213" i="1"/>
  <c r="AY213" i="1"/>
  <c r="AW214" i="1"/>
  <c r="AX214" i="1"/>
  <c r="AY214" i="1"/>
  <c r="AW215" i="1"/>
  <c r="AX215" i="1"/>
  <c r="AY215" i="1"/>
  <c r="AW216" i="1"/>
  <c r="AX216" i="1"/>
  <c r="AY216" i="1"/>
  <c r="AW217" i="1"/>
  <c r="AX217" i="1"/>
  <c r="AY217" i="1"/>
  <c r="AW218" i="1"/>
  <c r="AX218" i="1"/>
  <c r="AY218" i="1"/>
  <c r="AW219" i="1"/>
  <c r="AX219" i="1"/>
  <c r="AY219" i="1"/>
  <c r="AW220" i="1"/>
  <c r="AX220" i="1"/>
  <c r="AY220" i="1"/>
  <c r="AW221" i="1"/>
  <c r="AX221" i="1"/>
  <c r="AY221" i="1"/>
  <c r="AW222" i="1"/>
  <c r="AX222" i="1"/>
  <c r="AY222" i="1"/>
  <c r="AW223" i="1"/>
  <c r="AX223" i="1"/>
  <c r="AY223" i="1"/>
  <c r="AW224" i="1"/>
  <c r="AX224" i="1"/>
  <c r="AY224" i="1"/>
  <c r="AW225" i="1"/>
  <c r="AX225" i="1"/>
  <c r="AY225" i="1"/>
  <c r="AW226" i="1"/>
  <c r="AX226" i="1"/>
  <c r="AY226" i="1"/>
  <c r="AW227" i="1"/>
  <c r="AX227" i="1"/>
  <c r="AY227" i="1"/>
  <c r="AW228" i="1"/>
  <c r="AX228" i="1"/>
  <c r="AY228" i="1"/>
  <c r="AW229" i="1"/>
  <c r="AX229" i="1"/>
  <c r="AY229" i="1"/>
  <c r="AW230" i="1"/>
  <c r="AX230" i="1"/>
  <c r="AY230" i="1"/>
  <c r="AW231" i="1"/>
  <c r="AX231" i="1"/>
  <c r="AY231" i="1"/>
  <c r="AW232" i="1"/>
  <c r="AX232" i="1"/>
  <c r="AY232" i="1"/>
  <c r="AW233" i="1"/>
  <c r="AX233" i="1"/>
  <c r="AY233" i="1"/>
  <c r="AW234" i="1"/>
  <c r="AX234" i="1"/>
  <c r="AY234" i="1"/>
  <c r="AW235" i="1"/>
  <c r="AX235" i="1"/>
  <c r="AY235" i="1"/>
  <c r="AW236" i="1"/>
  <c r="AX236" i="1"/>
  <c r="AY236" i="1"/>
  <c r="AW237" i="1"/>
  <c r="AX237" i="1"/>
  <c r="AY237" i="1"/>
  <c r="AW238" i="1"/>
  <c r="AX238" i="1"/>
  <c r="AY238" i="1"/>
  <c r="AW239" i="1"/>
  <c r="AX239" i="1"/>
  <c r="AY239" i="1"/>
  <c r="AW240" i="1"/>
  <c r="AX240" i="1"/>
  <c r="AY240" i="1"/>
  <c r="AW241" i="1"/>
  <c r="AX241" i="1"/>
  <c r="AY241" i="1"/>
  <c r="AW242" i="1"/>
  <c r="AX242" i="1"/>
  <c r="AY242" i="1"/>
  <c r="AW243" i="1"/>
  <c r="AX243" i="1"/>
  <c r="AY243" i="1"/>
  <c r="AW244" i="1"/>
  <c r="AX244" i="1"/>
  <c r="AY244" i="1"/>
  <c r="AW245" i="1"/>
  <c r="AX245" i="1"/>
  <c r="AY245" i="1"/>
  <c r="AW246" i="1"/>
  <c r="AX246" i="1"/>
  <c r="AY246" i="1"/>
  <c r="AW247" i="1"/>
  <c r="AX247" i="1"/>
  <c r="AY247" i="1"/>
  <c r="AW248" i="1"/>
  <c r="AX248" i="1"/>
  <c r="AY248" i="1"/>
  <c r="AW249" i="1"/>
  <c r="AX249" i="1"/>
  <c r="AY249" i="1"/>
  <c r="AW250" i="1"/>
  <c r="AX250" i="1"/>
  <c r="AY250" i="1"/>
  <c r="AW251" i="1"/>
  <c r="AX251" i="1"/>
  <c r="AY251" i="1"/>
  <c r="AW252" i="1"/>
  <c r="AX252" i="1"/>
  <c r="AY252" i="1"/>
  <c r="AW253" i="1"/>
  <c r="AX253" i="1"/>
  <c r="AY253" i="1"/>
  <c r="AW254" i="1"/>
  <c r="AX254" i="1"/>
  <c r="AY254" i="1"/>
  <c r="AW255" i="1"/>
  <c r="AX255" i="1"/>
  <c r="AY255" i="1"/>
  <c r="AW256" i="1"/>
  <c r="AX256" i="1"/>
  <c r="AY256" i="1"/>
  <c r="AW257" i="1"/>
  <c r="AX257" i="1"/>
  <c r="AY257" i="1"/>
  <c r="AW258" i="1"/>
  <c r="AX258" i="1"/>
  <c r="AY258" i="1"/>
  <c r="AW259" i="1"/>
  <c r="AX259" i="1"/>
  <c r="AY259" i="1"/>
  <c r="AW260" i="1"/>
  <c r="AX260" i="1"/>
  <c r="AY260" i="1"/>
  <c r="AW261" i="1"/>
  <c r="AX261" i="1"/>
  <c r="AY261" i="1"/>
  <c r="AW262" i="1"/>
  <c r="AX262" i="1"/>
  <c r="AY262" i="1"/>
  <c r="AW263" i="1"/>
  <c r="AX263" i="1"/>
  <c r="AY263" i="1"/>
  <c r="AW264" i="1"/>
  <c r="AX264" i="1"/>
  <c r="AY264" i="1"/>
  <c r="AW265" i="1"/>
  <c r="AX265" i="1"/>
  <c r="AY265" i="1"/>
  <c r="AW266" i="1"/>
  <c r="AX266" i="1"/>
  <c r="AY266" i="1"/>
  <c r="AW267" i="1"/>
  <c r="AX267" i="1"/>
  <c r="AY267" i="1"/>
  <c r="AW268" i="1"/>
  <c r="AX268" i="1"/>
  <c r="AY268" i="1"/>
  <c r="AW269" i="1"/>
  <c r="AX269" i="1"/>
  <c r="AY269" i="1"/>
  <c r="AW270" i="1"/>
  <c r="AX270" i="1"/>
  <c r="AY270" i="1"/>
  <c r="AW271" i="1"/>
  <c r="AX271" i="1"/>
  <c r="AY271" i="1"/>
  <c r="AW272" i="1"/>
  <c r="AX272" i="1"/>
  <c r="AY272" i="1"/>
  <c r="AW273" i="1"/>
  <c r="AX273" i="1"/>
  <c r="AY273" i="1"/>
  <c r="AW274" i="1"/>
  <c r="AX274" i="1"/>
  <c r="AY274" i="1"/>
  <c r="AW275" i="1"/>
  <c r="AX275" i="1"/>
  <c r="AY275" i="1"/>
  <c r="AW276" i="1"/>
  <c r="AX276" i="1"/>
  <c r="AY276" i="1"/>
  <c r="AW277" i="1"/>
  <c r="AX277" i="1"/>
  <c r="AY277" i="1"/>
  <c r="AW278" i="1"/>
  <c r="AX278" i="1"/>
  <c r="AY278" i="1"/>
  <c r="AW279" i="1"/>
  <c r="AX279" i="1"/>
  <c r="AY279" i="1"/>
  <c r="AW280" i="1"/>
  <c r="AX280" i="1"/>
  <c r="AY280" i="1"/>
  <c r="AW281" i="1"/>
  <c r="AX281" i="1"/>
  <c r="AY281" i="1"/>
  <c r="AW282" i="1"/>
  <c r="AX282" i="1"/>
  <c r="AY282" i="1"/>
  <c r="AW283" i="1"/>
  <c r="AX283" i="1"/>
  <c r="AY283" i="1"/>
  <c r="AW284" i="1"/>
  <c r="AX284" i="1"/>
  <c r="AY284" i="1"/>
  <c r="AW285" i="1"/>
  <c r="AX285" i="1"/>
  <c r="AY285" i="1"/>
  <c r="AW286" i="1"/>
  <c r="AX286" i="1"/>
  <c r="AY286" i="1"/>
  <c r="AW287" i="1"/>
  <c r="AX287" i="1"/>
  <c r="AY287" i="1"/>
  <c r="AW288" i="1"/>
  <c r="AX288" i="1"/>
  <c r="AY288" i="1"/>
  <c r="AW289" i="1"/>
  <c r="AX289" i="1"/>
  <c r="AY289" i="1"/>
  <c r="AW290" i="1"/>
  <c r="AX290" i="1"/>
  <c r="AY290" i="1"/>
  <c r="AW291" i="1"/>
  <c r="AX291" i="1"/>
  <c r="AY291" i="1"/>
  <c r="AW292" i="1"/>
  <c r="AX292" i="1"/>
  <c r="AY292" i="1"/>
  <c r="AW293" i="1"/>
  <c r="AX293" i="1"/>
  <c r="AY293" i="1"/>
  <c r="AW294" i="1"/>
  <c r="AX294" i="1"/>
  <c r="AY294" i="1"/>
  <c r="AW295" i="1"/>
  <c r="AX295" i="1"/>
  <c r="AY295" i="1"/>
  <c r="AW296" i="1"/>
  <c r="AX296" i="1"/>
  <c r="AY296" i="1"/>
  <c r="AW297" i="1"/>
  <c r="AX297" i="1"/>
  <c r="AY297" i="1"/>
  <c r="AW298" i="1"/>
  <c r="AX298" i="1"/>
  <c r="AY298" i="1"/>
  <c r="AW299" i="1"/>
  <c r="AX299" i="1"/>
  <c r="AY299" i="1"/>
  <c r="AW300" i="1"/>
  <c r="AX300" i="1"/>
  <c r="AY300" i="1"/>
  <c r="AW301" i="1"/>
  <c r="AX301" i="1"/>
  <c r="AY301" i="1"/>
  <c r="AW302" i="1"/>
  <c r="AX302" i="1"/>
  <c r="AY302" i="1"/>
  <c r="AW303" i="1"/>
  <c r="AX303" i="1"/>
  <c r="AY303" i="1"/>
  <c r="AW304" i="1"/>
  <c r="AX304" i="1"/>
  <c r="AY304" i="1"/>
  <c r="AW305" i="1"/>
  <c r="AX305" i="1"/>
  <c r="AY305" i="1"/>
  <c r="AW306" i="1"/>
  <c r="AX306" i="1"/>
  <c r="AY306" i="1"/>
  <c r="AW307" i="1"/>
  <c r="AX307" i="1"/>
  <c r="AY307" i="1"/>
  <c r="AW308" i="1"/>
  <c r="AX308" i="1"/>
  <c r="AY308" i="1"/>
  <c r="AW309" i="1"/>
  <c r="AX309" i="1"/>
  <c r="AY309" i="1"/>
  <c r="AW310" i="1"/>
  <c r="AX310" i="1"/>
  <c r="AY310" i="1"/>
  <c r="AW311" i="1"/>
  <c r="AX311" i="1"/>
  <c r="AY311" i="1"/>
  <c r="AW312" i="1"/>
  <c r="AX312" i="1"/>
  <c r="AY312" i="1"/>
  <c r="AW313" i="1"/>
  <c r="AX313" i="1"/>
  <c r="AY313" i="1"/>
  <c r="AW314" i="1"/>
  <c r="AX314" i="1"/>
  <c r="AY314" i="1"/>
  <c r="AW315" i="1"/>
  <c r="AX315" i="1"/>
  <c r="AY315" i="1"/>
  <c r="AW316" i="1"/>
  <c r="AX316" i="1"/>
  <c r="AY316" i="1"/>
  <c r="AW317" i="1"/>
  <c r="AX317" i="1"/>
  <c r="AY317" i="1"/>
  <c r="AW318" i="1"/>
  <c r="AX318" i="1"/>
  <c r="AY318" i="1"/>
  <c r="AW319" i="1"/>
  <c r="AX319" i="1"/>
  <c r="AY319" i="1"/>
  <c r="AW320" i="1"/>
  <c r="AX320" i="1"/>
  <c r="AY320" i="1"/>
  <c r="AW321" i="1"/>
  <c r="AX321" i="1"/>
  <c r="AY321" i="1"/>
  <c r="AW322" i="1"/>
  <c r="AX322" i="1"/>
  <c r="AY322" i="1"/>
  <c r="AW323" i="1"/>
  <c r="AX323" i="1"/>
  <c r="AY323" i="1"/>
  <c r="AW324" i="1"/>
  <c r="AX324" i="1"/>
  <c r="AY324" i="1"/>
  <c r="AW325" i="1"/>
  <c r="AX325" i="1"/>
  <c r="AY325" i="1"/>
  <c r="AW326" i="1"/>
  <c r="AX326" i="1"/>
  <c r="AY326" i="1"/>
  <c r="AW327" i="1"/>
  <c r="AX327" i="1"/>
  <c r="AY327" i="1"/>
  <c r="AW328" i="1"/>
  <c r="AX328" i="1"/>
  <c r="AY328" i="1"/>
  <c r="AW329" i="1"/>
  <c r="AX329" i="1"/>
  <c r="AY329" i="1"/>
  <c r="AW330" i="1"/>
  <c r="AX330" i="1"/>
  <c r="AY330" i="1"/>
  <c r="AW331" i="1"/>
  <c r="AX331" i="1"/>
  <c r="AY331" i="1"/>
  <c r="AW332" i="1"/>
  <c r="AX332" i="1"/>
  <c r="AY332" i="1"/>
  <c r="AW333" i="1"/>
  <c r="AX333" i="1"/>
  <c r="AY333" i="1"/>
  <c r="AW334" i="1"/>
  <c r="AX334" i="1"/>
  <c r="AY334" i="1"/>
  <c r="AW335" i="1"/>
  <c r="AX335" i="1"/>
  <c r="AY335" i="1"/>
  <c r="AW336" i="1"/>
  <c r="AX336" i="1"/>
  <c r="AY336" i="1"/>
  <c r="AW337" i="1"/>
  <c r="AX337" i="1"/>
  <c r="AY337" i="1"/>
  <c r="AW338" i="1"/>
  <c r="AX338" i="1"/>
  <c r="AY338" i="1"/>
  <c r="AW339" i="1"/>
  <c r="AX339" i="1"/>
  <c r="AY339" i="1"/>
  <c r="AW340" i="1"/>
  <c r="AX340" i="1"/>
  <c r="AY340" i="1"/>
  <c r="AW341" i="1"/>
  <c r="AX341" i="1"/>
  <c r="AY341" i="1"/>
  <c r="AW342" i="1"/>
  <c r="AX342" i="1"/>
  <c r="AY342" i="1"/>
  <c r="AW343" i="1"/>
  <c r="AX343" i="1"/>
  <c r="AY343" i="1"/>
  <c r="AW344" i="1"/>
  <c r="AX344" i="1"/>
  <c r="AY344" i="1"/>
  <c r="AW345" i="1"/>
  <c r="AX345" i="1"/>
  <c r="AY345" i="1"/>
  <c r="AW346" i="1"/>
  <c r="AX346" i="1"/>
  <c r="AY346" i="1"/>
  <c r="AW347" i="1"/>
  <c r="AX347" i="1"/>
  <c r="AY347" i="1"/>
  <c r="AW348" i="1"/>
  <c r="AX348" i="1"/>
  <c r="AY348" i="1"/>
  <c r="AW349" i="1"/>
  <c r="AX349" i="1"/>
  <c r="AY349" i="1"/>
  <c r="AW350" i="1"/>
  <c r="AX350" i="1"/>
  <c r="AY350" i="1"/>
  <c r="AW351" i="1"/>
  <c r="AX351" i="1"/>
  <c r="AY351" i="1"/>
  <c r="AW352" i="1"/>
  <c r="AX352" i="1"/>
  <c r="AY352" i="1"/>
  <c r="AW353" i="1"/>
  <c r="AX353" i="1"/>
  <c r="AY353" i="1"/>
  <c r="AW354" i="1"/>
  <c r="AX354" i="1"/>
  <c r="AY354" i="1"/>
  <c r="AW355" i="1"/>
  <c r="AX355" i="1"/>
  <c r="AY355" i="1"/>
  <c r="AW356" i="1"/>
  <c r="AX356" i="1"/>
  <c r="AY356" i="1"/>
  <c r="AW357" i="1"/>
  <c r="AX357" i="1"/>
  <c r="AY357" i="1"/>
  <c r="AW358" i="1"/>
  <c r="AX358" i="1"/>
  <c r="AY358" i="1"/>
  <c r="AW359" i="1"/>
  <c r="AX359" i="1"/>
  <c r="AY359" i="1"/>
  <c r="AW360" i="1"/>
  <c r="AX360" i="1"/>
  <c r="AY360" i="1"/>
  <c r="AW361" i="1"/>
  <c r="AX361" i="1"/>
  <c r="AY361" i="1"/>
  <c r="AW362" i="1"/>
  <c r="AX362" i="1"/>
  <c r="AY362" i="1"/>
  <c r="AW363" i="1"/>
  <c r="AX363" i="1"/>
  <c r="AY363" i="1"/>
  <c r="AW364" i="1"/>
  <c r="AX364" i="1"/>
  <c r="AY364" i="1"/>
  <c r="AW365" i="1"/>
  <c r="AX365" i="1"/>
  <c r="AY365" i="1"/>
  <c r="AW366" i="1"/>
  <c r="AX366" i="1"/>
  <c r="AY366" i="1"/>
  <c r="AW367" i="1"/>
  <c r="AX367" i="1"/>
  <c r="AY367" i="1"/>
  <c r="AW368" i="1"/>
  <c r="AX368" i="1"/>
  <c r="AY368" i="1"/>
  <c r="AW369" i="1"/>
  <c r="AX369" i="1"/>
  <c r="AY369" i="1"/>
  <c r="AW370" i="1"/>
  <c r="AX370" i="1"/>
  <c r="AY370" i="1"/>
  <c r="AW371" i="1"/>
  <c r="AX371" i="1"/>
  <c r="AY371" i="1"/>
  <c r="AW372" i="1"/>
  <c r="AX372" i="1"/>
  <c r="AY372" i="1"/>
  <c r="AW373" i="1"/>
  <c r="AX373" i="1"/>
  <c r="AY373" i="1"/>
  <c r="AW374" i="1"/>
  <c r="AX374" i="1"/>
  <c r="AY374" i="1"/>
  <c r="AW375" i="1"/>
  <c r="AX375" i="1"/>
  <c r="AY375" i="1"/>
  <c r="AW376" i="1"/>
  <c r="AX376" i="1"/>
  <c r="AY376" i="1"/>
  <c r="AW377" i="1"/>
  <c r="AX377" i="1"/>
  <c r="AY377" i="1"/>
  <c r="AW378" i="1"/>
  <c r="AX378" i="1"/>
  <c r="AY378" i="1"/>
  <c r="AW379" i="1"/>
  <c r="AX379" i="1"/>
  <c r="AY379" i="1"/>
  <c r="AW380" i="1"/>
  <c r="AX380" i="1"/>
  <c r="AY380" i="1"/>
  <c r="AW381" i="1"/>
  <c r="AX381" i="1"/>
  <c r="AY381" i="1"/>
  <c r="AW382" i="1"/>
  <c r="AX382" i="1"/>
  <c r="AY382" i="1"/>
  <c r="AW383" i="1"/>
  <c r="AX383" i="1"/>
  <c r="AY383" i="1"/>
  <c r="AW384" i="1"/>
  <c r="AX384" i="1"/>
  <c r="AY384" i="1"/>
  <c r="AW385" i="1"/>
  <c r="AX385" i="1"/>
  <c r="AY385" i="1"/>
  <c r="AW386" i="1"/>
  <c r="AX386" i="1"/>
  <c r="AY386" i="1"/>
  <c r="AW387" i="1"/>
  <c r="AX387" i="1"/>
  <c r="AY387" i="1"/>
  <c r="AW388" i="1"/>
  <c r="AX388" i="1"/>
  <c r="AY388" i="1"/>
  <c r="AW389" i="1"/>
  <c r="AX389" i="1"/>
  <c r="AY389" i="1"/>
  <c r="AW390" i="1"/>
  <c r="AX390" i="1"/>
  <c r="AY390" i="1"/>
  <c r="AW391" i="1"/>
  <c r="AX391" i="1"/>
  <c r="AY391" i="1"/>
  <c r="AW392" i="1"/>
  <c r="AX392" i="1"/>
  <c r="AY392" i="1"/>
  <c r="AW393" i="1"/>
  <c r="AX393" i="1"/>
  <c r="AY393" i="1"/>
  <c r="AW394" i="1"/>
  <c r="AX394" i="1"/>
  <c r="AY394" i="1"/>
  <c r="AW395" i="1"/>
  <c r="AX395" i="1"/>
  <c r="AY395" i="1"/>
  <c r="AW396" i="1"/>
  <c r="AX396" i="1"/>
  <c r="AY396" i="1"/>
  <c r="AW397" i="1"/>
  <c r="AX397" i="1"/>
  <c r="AY397" i="1"/>
  <c r="AW398" i="1"/>
  <c r="AX398" i="1"/>
  <c r="AY398" i="1"/>
  <c r="AW399" i="1"/>
  <c r="AX399" i="1"/>
  <c r="AY399" i="1"/>
  <c r="AW400" i="1"/>
  <c r="AX400" i="1"/>
  <c r="AY400" i="1"/>
  <c r="AW401" i="1"/>
  <c r="AX401" i="1"/>
  <c r="AY401" i="1"/>
  <c r="AW402" i="1"/>
  <c r="AX402" i="1"/>
  <c r="AY402" i="1"/>
  <c r="AW403" i="1"/>
  <c r="AX403" i="1"/>
  <c r="AY403" i="1"/>
  <c r="AW404" i="1"/>
  <c r="AX404" i="1"/>
  <c r="AY404" i="1"/>
  <c r="AW405" i="1"/>
  <c r="AX405" i="1"/>
  <c r="AY405" i="1"/>
  <c r="AW406" i="1"/>
  <c r="AX406" i="1"/>
  <c r="AY406" i="1"/>
  <c r="AW407" i="1"/>
  <c r="AX407" i="1"/>
  <c r="AY407" i="1"/>
  <c r="AW408" i="1"/>
  <c r="AX408" i="1"/>
  <c r="AY408" i="1"/>
  <c r="AW409" i="1"/>
  <c r="AX409" i="1"/>
  <c r="AY409" i="1"/>
  <c r="AW410" i="1"/>
  <c r="AX410" i="1"/>
  <c r="AY410" i="1"/>
  <c r="AW411" i="1"/>
  <c r="AX411" i="1"/>
  <c r="AY411" i="1"/>
  <c r="AW412" i="1"/>
  <c r="AX412" i="1"/>
  <c r="AY412" i="1"/>
  <c r="AW413" i="1"/>
  <c r="AX413" i="1"/>
  <c r="AY413" i="1"/>
  <c r="AW414" i="1"/>
  <c r="AX414" i="1"/>
  <c r="AY414" i="1"/>
  <c r="AW415" i="1"/>
  <c r="AX415" i="1"/>
  <c r="AY415" i="1"/>
  <c r="AW416" i="1"/>
  <c r="AX416" i="1"/>
  <c r="AY416" i="1"/>
  <c r="AW417" i="1"/>
  <c r="AX417" i="1"/>
  <c r="AY417" i="1"/>
  <c r="AW418" i="1"/>
  <c r="AX418" i="1"/>
  <c r="AY418" i="1"/>
  <c r="AW419" i="1"/>
  <c r="AX419" i="1"/>
  <c r="AY419" i="1"/>
  <c r="AW420" i="1"/>
  <c r="AX420" i="1"/>
  <c r="AY420" i="1"/>
  <c r="AW421" i="1"/>
  <c r="AX421" i="1"/>
  <c r="AY421" i="1"/>
  <c r="AW422" i="1"/>
  <c r="AX422" i="1"/>
  <c r="AY422" i="1"/>
  <c r="AW423" i="1"/>
  <c r="AX423" i="1"/>
  <c r="AY423" i="1"/>
  <c r="AW424" i="1"/>
  <c r="AX424" i="1"/>
  <c r="AY424" i="1"/>
  <c r="AW425" i="1"/>
  <c r="AX425" i="1"/>
  <c r="AY425" i="1"/>
  <c r="AW426" i="1"/>
  <c r="AX426" i="1"/>
  <c r="AY426" i="1"/>
  <c r="AW427" i="1"/>
  <c r="AX427" i="1"/>
  <c r="AY427" i="1"/>
  <c r="AW428" i="1"/>
  <c r="AX428" i="1"/>
  <c r="AY428" i="1"/>
  <c r="AW429" i="1"/>
  <c r="AX429" i="1"/>
  <c r="AY429" i="1"/>
  <c r="AW430" i="1"/>
  <c r="AX430" i="1"/>
  <c r="AY430" i="1"/>
  <c r="AW431" i="1"/>
  <c r="AX431" i="1"/>
  <c r="AY431" i="1"/>
  <c r="AW432" i="1"/>
  <c r="AX432" i="1"/>
  <c r="AY432" i="1"/>
  <c r="AW433" i="1"/>
  <c r="AX433" i="1"/>
  <c r="AY433" i="1"/>
  <c r="AW434" i="1"/>
  <c r="AX434" i="1"/>
  <c r="AY434" i="1"/>
  <c r="AW435" i="1"/>
  <c r="AX435" i="1"/>
  <c r="AY435" i="1"/>
  <c r="AW436" i="1"/>
  <c r="AX436" i="1"/>
  <c r="AY436" i="1"/>
  <c r="AW437" i="1"/>
  <c r="AX437" i="1"/>
  <c r="AY437" i="1"/>
  <c r="AW438" i="1"/>
  <c r="AX438" i="1"/>
  <c r="AY438" i="1"/>
  <c r="AW439" i="1"/>
  <c r="AX439" i="1"/>
  <c r="AY439" i="1"/>
  <c r="AW440" i="1"/>
  <c r="AX440" i="1"/>
  <c r="AY440" i="1"/>
  <c r="AW441" i="1"/>
  <c r="AX441" i="1"/>
  <c r="AY441" i="1"/>
  <c r="AW442" i="1"/>
  <c r="AX442" i="1"/>
  <c r="AY442" i="1"/>
  <c r="AW443" i="1"/>
  <c r="AX443" i="1"/>
  <c r="AY443" i="1"/>
  <c r="AW444" i="1"/>
  <c r="AX444" i="1"/>
  <c r="AY444" i="1"/>
  <c r="AW445" i="1"/>
  <c r="AX445" i="1"/>
  <c r="AY445" i="1"/>
  <c r="AW446" i="1"/>
  <c r="AX446" i="1"/>
  <c r="AY446" i="1"/>
  <c r="AW447" i="1"/>
  <c r="AX447" i="1"/>
  <c r="AY447" i="1"/>
  <c r="AW448" i="1"/>
  <c r="AX448" i="1"/>
  <c r="AY448" i="1"/>
  <c r="AW449" i="1"/>
  <c r="AX449" i="1"/>
  <c r="AY449" i="1"/>
  <c r="AW450" i="1"/>
  <c r="AX450" i="1"/>
  <c r="AY450" i="1"/>
  <c r="AW451" i="1"/>
  <c r="AX451" i="1"/>
  <c r="AY451" i="1"/>
  <c r="AW452" i="1"/>
  <c r="AX452" i="1"/>
  <c r="AY452" i="1"/>
  <c r="AW453" i="1"/>
  <c r="AX453" i="1"/>
  <c r="AY453" i="1"/>
  <c r="AW454" i="1"/>
  <c r="AX454" i="1"/>
  <c r="AY454" i="1"/>
  <c r="AW455" i="1"/>
  <c r="AX455" i="1"/>
  <c r="AY455" i="1"/>
  <c r="AW456" i="1"/>
  <c r="AX456" i="1"/>
  <c r="AY456" i="1"/>
  <c r="AW457" i="1"/>
  <c r="AX457" i="1"/>
  <c r="AY457" i="1"/>
  <c r="AW458" i="1"/>
  <c r="AX458" i="1"/>
  <c r="AY458" i="1"/>
  <c r="AW459" i="1"/>
  <c r="AX459" i="1"/>
  <c r="AY459" i="1"/>
  <c r="AW460" i="1"/>
  <c r="AX460" i="1"/>
  <c r="AY460" i="1"/>
  <c r="AW461" i="1"/>
  <c r="AX461" i="1"/>
  <c r="AY461" i="1"/>
  <c r="AW462" i="1"/>
  <c r="AX462" i="1"/>
  <c r="AY462" i="1"/>
  <c r="AW463" i="1"/>
  <c r="AX463" i="1"/>
  <c r="AY463" i="1"/>
  <c r="AW464" i="1"/>
  <c r="AX464" i="1"/>
  <c r="AY464" i="1"/>
  <c r="AW465" i="1"/>
  <c r="AX465" i="1"/>
  <c r="AY465" i="1"/>
  <c r="AW466" i="1"/>
  <c r="AX466" i="1"/>
  <c r="AY466" i="1"/>
  <c r="AW467" i="1"/>
  <c r="AX467" i="1"/>
  <c r="AY467" i="1"/>
  <c r="AW468" i="1"/>
  <c r="AX468" i="1"/>
  <c r="AY468" i="1"/>
  <c r="AW469" i="1"/>
  <c r="AX469" i="1"/>
  <c r="AY469" i="1"/>
  <c r="AW470" i="1"/>
  <c r="AX470" i="1"/>
  <c r="AY470" i="1"/>
  <c r="AW471" i="1"/>
  <c r="AX471" i="1"/>
  <c r="AY471" i="1"/>
  <c r="AW472" i="1"/>
  <c r="AX472" i="1"/>
  <c r="AY472" i="1"/>
  <c r="AW473" i="1"/>
  <c r="AX473" i="1"/>
  <c r="AY473" i="1"/>
  <c r="AW474" i="1"/>
  <c r="AX474" i="1"/>
  <c r="AY474" i="1"/>
  <c r="AW475" i="1"/>
  <c r="AX475" i="1"/>
  <c r="AY475" i="1"/>
  <c r="AW476" i="1"/>
  <c r="AX476" i="1"/>
  <c r="AY476" i="1"/>
  <c r="AW477" i="1"/>
  <c r="AX477" i="1"/>
  <c r="AY477" i="1"/>
  <c r="AW478" i="1"/>
  <c r="AX478" i="1"/>
  <c r="AY478" i="1"/>
  <c r="AW479" i="1"/>
  <c r="AX479" i="1"/>
  <c r="AY479" i="1"/>
  <c r="AW480" i="1"/>
  <c r="AX480" i="1"/>
  <c r="AY480" i="1"/>
  <c r="AW481" i="1"/>
  <c r="AX481" i="1"/>
  <c r="AY481" i="1"/>
  <c r="AW482" i="1"/>
  <c r="AX482" i="1"/>
  <c r="AY482" i="1"/>
  <c r="AW483" i="1"/>
  <c r="AX483" i="1"/>
  <c r="AY483" i="1"/>
  <c r="AW484" i="1"/>
  <c r="AX484" i="1"/>
  <c r="AY484" i="1"/>
  <c r="AW485" i="1"/>
  <c r="AX485" i="1"/>
  <c r="AY485" i="1"/>
  <c r="AW486" i="1"/>
  <c r="AX486" i="1"/>
  <c r="AY486" i="1"/>
  <c r="AW487" i="1"/>
  <c r="AX487" i="1"/>
  <c r="AY487" i="1"/>
  <c r="AW488" i="1"/>
  <c r="AX488" i="1"/>
  <c r="AY488" i="1"/>
  <c r="AW489" i="1"/>
  <c r="AX489" i="1"/>
  <c r="AY489" i="1"/>
  <c r="AW490" i="1"/>
  <c r="AX490" i="1"/>
  <c r="AY490" i="1"/>
  <c r="AW491" i="1"/>
  <c r="AX491" i="1"/>
  <c r="AY491" i="1"/>
  <c r="AW492" i="1"/>
  <c r="AX492" i="1"/>
  <c r="AY492" i="1"/>
  <c r="AW493" i="1"/>
  <c r="AX493" i="1"/>
  <c r="AY493" i="1"/>
  <c r="AW494" i="1"/>
  <c r="AX494" i="1"/>
  <c r="AY494" i="1"/>
  <c r="AW495" i="1"/>
  <c r="AX495" i="1"/>
  <c r="AY495" i="1"/>
  <c r="AW496" i="1"/>
  <c r="AX496" i="1"/>
  <c r="AY496" i="1"/>
  <c r="AW497" i="1"/>
  <c r="AX497" i="1"/>
  <c r="AY497" i="1"/>
  <c r="AW498" i="1"/>
  <c r="AX498" i="1"/>
  <c r="AY498" i="1"/>
  <c r="AW499" i="1"/>
  <c r="AX499" i="1"/>
  <c r="AY499" i="1"/>
  <c r="AW500" i="1"/>
  <c r="AX500" i="1"/>
  <c r="AY500" i="1"/>
  <c r="AW501" i="1"/>
  <c r="AX501" i="1"/>
  <c r="AY501" i="1"/>
  <c r="AW502" i="1"/>
  <c r="AX502" i="1"/>
  <c r="AY502" i="1"/>
  <c r="AW503" i="1"/>
  <c r="AX503" i="1"/>
  <c r="AY503" i="1"/>
  <c r="AW504" i="1"/>
  <c r="AX504" i="1"/>
  <c r="AY504" i="1"/>
  <c r="AW505" i="1"/>
  <c r="AX505" i="1"/>
  <c r="AY505" i="1"/>
  <c r="AW506" i="1"/>
  <c r="AX506" i="1"/>
  <c r="AY506" i="1"/>
  <c r="AW507" i="1"/>
  <c r="AX507" i="1"/>
  <c r="AY507" i="1"/>
  <c r="AW508" i="1"/>
  <c r="AX508" i="1"/>
  <c r="AY508" i="1"/>
  <c r="AW509" i="1"/>
  <c r="AX509" i="1"/>
  <c r="AY509" i="1"/>
  <c r="AW510" i="1"/>
  <c r="AX510" i="1"/>
  <c r="AY510" i="1"/>
  <c r="AW511" i="1"/>
  <c r="AX511" i="1"/>
  <c r="AY511" i="1"/>
  <c r="AW512" i="1"/>
  <c r="AX512" i="1"/>
  <c r="AY512" i="1"/>
  <c r="AW513" i="1"/>
  <c r="AX513" i="1"/>
  <c r="AY513" i="1"/>
  <c r="AW514" i="1"/>
  <c r="AX514" i="1"/>
  <c r="AY514" i="1"/>
  <c r="AW515" i="1"/>
  <c r="AX515" i="1"/>
  <c r="AY515" i="1"/>
  <c r="AW516" i="1"/>
  <c r="AX516" i="1"/>
  <c r="AY516" i="1"/>
  <c r="AW517" i="1"/>
  <c r="AX517" i="1"/>
  <c r="AY517" i="1"/>
  <c r="AW518" i="1"/>
  <c r="AX518" i="1"/>
  <c r="AY518" i="1"/>
  <c r="AW519" i="1"/>
  <c r="AX519" i="1"/>
  <c r="AY519" i="1"/>
  <c r="AW520" i="1"/>
  <c r="AX520" i="1"/>
  <c r="AY520" i="1"/>
  <c r="AW521" i="1"/>
  <c r="AX521" i="1"/>
  <c r="AY521" i="1"/>
  <c r="AW522" i="1"/>
  <c r="AX522" i="1"/>
  <c r="AY522" i="1"/>
  <c r="AW523" i="1"/>
  <c r="AX523" i="1"/>
  <c r="AY523" i="1"/>
  <c r="AW524" i="1"/>
  <c r="AX524" i="1"/>
  <c r="AY524" i="1"/>
  <c r="AW525" i="1"/>
  <c r="AX525" i="1"/>
  <c r="AY525" i="1"/>
  <c r="AW526" i="1"/>
  <c r="AX526" i="1"/>
  <c r="AY526" i="1"/>
  <c r="AW527" i="1"/>
  <c r="AX527" i="1"/>
  <c r="AY527" i="1"/>
  <c r="AW528" i="1"/>
  <c r="AX528" i="1"/>
  <c r="AY528" i="1"/>
  <c r="AW529" i="1"/>
  <c r="AX529" i="1"/>
  <c r="AY529" i="1"/>
  <c r="AW530" i="1"/>
  <c r="AX530" i="1"/>
  <c r="AY530" i="1"/>
  <c r="AW531" i="1"/>
  <c r="AX531" i="1"/>
  <c r="AY531" i="1"/>
  <c r="AW532" i="1"/>
  <c r="AX532" i="1"/>
  <c r="AY532" i="1"/>
  <c r="AW533" i="1"/>
  <c r="AX533" i="1"/>
  <c r="AY533" i="1"/>
  <c r="AW534" i="1"/>
  <c r="AX534" i="1"/>
  <c r="AY534" i="1"/>
  <c r="AW535" i="1"/>
  <c r="AX535" i="1"/>
  <c r="AY535" i="1"/>
  <c r="AW536" i="1"/>
  <c r="AX536" i="1"/>
  <c r="AY536" i="1"/>
  <c r="AW537" i="1"/>
  <c r="AX537" i="1"/>
  <c r="AY537" i="1"/>
  <c r="AW538" i="1"/>
  <c r="AX538" i="1"/>
  <c r="AY538" i="1"/>
  <c r="AW539" i="1"/>
  <c r="AX539" i="1"/>
  <c r="AY539" i="1"/>
  <c r="AW540" i="1"/>
  <c r="AX540" i="1"/>
  <c r="AY540" i="1"/>
  <c r="AW541" i="1"/>
  <c r="AX541" i="1"/>
  <c r="AY541" i="1"/>
  <c r="AW542" i="1"/>
  <c r="AX542" i="1"/>
  <c r="AY542" i="1"/>
  <c r="AW543" i="1"/>
  <c r="AX543" i="1"/>
  <c r="AY543" i="1"/>
  <c r="AW544" i="1"/>
  <c r="AX544" i="1"/>
  <c r="AY544" i="1"/>
  <c r="AW545" i="1"/>
  <c r="AX545" i="1"/>
  <c r="AY545" i="1"/>
  <c r="AW546" i="1"/>
  <c r="AX546" i="1"/>
  <c r="AY546" i="1"/>
  <c r="AW547" i="1"/>
  <c r="AX547" i="1"/>
  <c r="AY547" i="1"/>
  <c r="AW548" i="1"/>
  <c r="AX548" i="1"/>
  <c r="AY548" i="1"/>
  <c r="AW549" i="1"/>
  <c r="AX549" i="1"/>
  <c r="AY549" i="1"/>
  <c r="AW550" i="1"/>
  <c r="AX550" i="1"/>
  <c r="AY550" i="1"/>
  <c r="AW551" i="1"/>
  <c r="AX551" i="1"/>
  <c r="AY551" i="1"/>
  <c r="AW552" i="1"/>
  <c r="AX552" i="1"/>
  <c r="AY552" i="1"/>
  <c r="AW553" i="1"/>
  <c r="AX553" i="1"/>
  <c r="AY553" i="1"/>
  <c r="AW554" i="1"/>
  <c r="AX554" i="1"/>
  <c r="AY554" i="1"/>
  <c r="AW555" i="1"/>
  <c r="AX555" i="1"/>
  <c r="AY555" i="1"/>
  <c r="AW556" i="1"/>
  <c r="AX556" i="1"/>
  <c r="AY556" i="1"/>
  <c r="AW557" i="1"/>
  <c r="AX557" i="1"/>
  <c r="AY557" i="1"/>
  <c r="AW558" i="1"/>
  <c r="AX558" i="1"/>
  <c r="AY558" i="1"/>
  <c r="AW559" i="1"/>
  <c r="AX559" i="1"/>
  <c r="AY559" i="1"/>
  <c r="AW560" i="1"/>
  <c r="AX560" i="1"/>
  <c r="AY560" i="1"/>
  <c r="AW561" i="1"/>
  <c r="AX561" i="1"/>
  <c r="AY561" i="1"/>
  <c r="AW562" i="1"/>
  <c r="AX562" i="1"/>
  <c r="AY562" i="1"/>
  <c r="AW563" i="1"/>
  <c r="AX563" i="1"/>
  <c r="AY563" i="1"/>
  <c r="AW564" i="1"/>
  <c r="AX564" i="1"/>
  <c r="AY564" i="1"/>
  <c r="AW565" i="1"/>
  <c r="AX565" i="1"/>
  <c r="AY565" i="1"/>
  <c r="AW566" i="1"/>
  <c r="AX566" i="1"/>
  <c r="AY566" i="1"/>
  <c r="AW567" i="1"/>
  <c r="AX567" i="1"/>
  <c r="AY567" i="1"/>
  <c r="AW568" i="1"/>
  <c r="AX568" i="1"/>
  <c r="AY568" i="1"/>
  <c r="AW569" i="1"/>
  <c r="AX569" i="1"/>
  <c r="AY569" i="1"/>
  <c r="AW570" i="1"/>
  <c r="AX570" i="1"/>
  <c r="AY570" i="1"/>
  <c r="AW571" i="1"/>
  <c r="AX571" i="1"/>
  <c r="AY571" i="1"/>
  <c r="AW572" i="1"/>
  <c r="AX572" i="1"/>
  <c r="AY572" i="1"/>
  <c r="AW573" i="1"/>
  <c r="AX573" i="1"/>
  <c r="AY573" i="1"/>
  <c r="AW574" i="1"/>
  <c r="AX574" i="1"/>
  <c r="AY574" i="1"/>
  <c r="AW575" i="1"/>
  <c r="AX575" i="1"/>
  <c r="AY575" i="1"/>
  <c r="AW576" i="1"/>
  <c r="AX576" i="1"/>
  <c r="AY576" i="1"/>
  <c r="AW577" i="1"/>
  <c r="AX577" i="1"/>
  <c r="AY577" i="1"/>
  <c r="AW578" i="1"/>
  <c r="AX578" i="1"/>
  <c r="AY578" i="1"/>
  <c r="AW579" i="1"/>
  <c r="AX579" i="1"/>
  <c r="AY579" i="1"/>
  <c r="AW580" i="1"/>
  <c r="AX580" i="1"/>
  <c r="AY580" i="1"/>
  <c r="AW581" i="1"/>
  <c r="AX581" i="1"/>
  <c r="AY581" i="1"/>
  <c r="AW582" i="1"/>
  <c r="AX582" i="1"/>
  <c r="AY582" i="1"/>
  <c r="AW583" i="1"/>
  <c r="AX583" i="1"/>
  <c r="AY583" i="1"/>
  <c r="AW584" i="1"/>
  <c r="AX584" i="1"/>
  <c r="AY584" i="1"/>
  <c r="AW585" i="1"/>
  <c r="AX585" i="1"/>
  <c r="AY585" i="1"/>
  <c r="AW586" i="1"/>
  <c r="AX586" i="1"/>
  <c r="AY586" i="1"/>
  <c r="AW587" i="1"/>
  <c r="AX587" i="1"/>
  <c r="AY587" i="1"/>
  <c r="AW588" i="1"/>
  <c r="AX588" i="1"/>
  <c r="AY588" i="1"/>
  <c r="AW589" i="1"/>
  <c r="AX589" i="1"/>
  <c r="AY589" i="1"/>
  <c r="AW590" i="1"/>
  <c r="AX590" i="1"/>
  <c r="AY590" i="1"/>
  <c r="AW591" i="1"/>
  <c r="AX591" i="1"/>
  <c r="AY591" i="1"/>
  <c r="AW592" i="1"/>
  <c r="AX592" i="1"/>
  <c r="AY592" i="1"/>
  <c r="AW593" i="1"/>
  <c r="AX593" i="1"/>
  <c r="AY593" i="1"/>
  <c r="AW594" i="1"/>
  <c r="AX594" i="1"/>
  <c r="AY594" i="1"/>
  <c r="AW595" i="1"/>
  <c r="AX595" i="1"/>
  <c r="AY595" i="1"/>
  <c r="AW596" i="1"/>
  <c r="AX596" i="1"/>
  <c r="AY596" i="1"/>
  <c r="AW597" i="1"/>
  <c r="AX597" i="1"/>
  <c r="AY597" i="1"/>
  <c r="AW598" i="1"/>
  <c r="AX598" i="1"/>
  <c r="AY598" i="1"/>
  <c r="AW599" i="1"/>
  <c r="AX599" i="1"/>
  <c r="AY599" i="1"/>
  <c r="AW600" i="1"/>
  <c r="AX600" i="1"/>
  <c r="AY600" i="1"/>
  <c r="AW601" i="1"/>
  <c r="AX601" i="1"/>
  <c r="AY601" i="1"/>
  <c r="AW602" i="1"/>
  <c r="AX602" i="1"/>
  <c r="AY602" i="1"/>
  <c r="AW603" i="1"/>
  <c r="AX603" i="1"/>
  <c r="AY603" i="1"/>
  <c r="AW604" i="1"/>
  <c r="AX604" i="1"/>
  <c r="AY604" i="1"/>
  <c r="AW605" i="1"/>
  <c r="AX605" i="1"/>
  <c r="AY605" i="1"/>
  <c r="AW606" i="1"/>
  <c r="AX606" i="1"/>
  <c r="AY606" i="1"/>
  <c r="AW607" i="1"/>
  <c r="AX607" i="1"/>
  <c r="AY607" i="1"/>
  <c r="AW608" i="1"/>
  <c r="AX608" i="1"/>
  <c r="AY608" i="1"/>
  <c r="AW609" i="1"/>
  <c r="AX609" i="1"/>
  <c r="AY609" i="1"/>
  <c r="AW610" i="1"/>
  <c r="AX610" i="1"/>
  <c r="AY610" i="1"/>
  <c r="AW611" i="1"/>
  <c r="AX611" i="1"/>
  <c r="AY611" i="1"/>
  <c r="AW612" i="1"/>
  <c r="AX612" i="1"/>
  <c r="AY612" i="1"/>
  <c r="AW613" i="1"/>
  <c r="AX613" i="1"/>
  <c r="AY613" i="1"/>
  <c r="AW614" i="1"/>
  <c r="AX614" i="1"/>
  <c r="AY614" i="1"/>
  <c r="AW615" i="1"/>
  <c r="AX615" i="1"/>
  <c r="AY615" i="1"/>
  <c r="AW616" i="1"/>
  <c r="AX616" i="1"/>
  <c r="AY616" i="1"/>
  <c r="AW617" i="1"/>
  <c r="AX617" i="1"/>
  <c r="AY617" i="1"/>
  <c r="AW618" i="1"/>
  <c r="AX618" i="1"/>
  <c r="AY618" i="1"/>
  <c r="AW619" i="1"/>
  <c r="AX619" i="1"/>
  <c r="AY619" i="1"/>
  <c r="AW620" i="1"/>
  <c r="AX620" i="1"/>
  <c r="AY620" i="1"/>
  <c r="AW621" i="1"/>
  <c r="AX621" i="1"/>
  <c r="AY621" i="1"/>
  <c r="AW622" i="1"/>
  <c r="AX622" i="1"/>
  <c r="AY622" i="1"/>
  <c r="AW623" i="1"/>
  <c r="AX623" i="1"/>
  <c r="AY623" i="1"/>
  <c r="AW624" i="1"/>
  <c r="AX624" i="1"/>
  <c r="AY624" i="1"/>
  <c r="AW625" i="1"/>
  <c r="AX625" i="1"/>
  <c r="AY625" i="1"/>
  <c r="AW626" i="1"/>
  <c r="AX626" i="1"/>
  <c r="AY626" i="1"/>
  <c r="AW627" i="1"/>
  <c r="AX627" i="1"/>
  <c r="AY627" i="1"/>
  <c r="AW628" i="1"/>
  <c r="AX628" i="1"/>
  <c r="AY628" i="1"/>
  <c r="AW629" i="1"/>
  <c r="AX629" i="1"/>
  <c r="AY629" i="1"/>
  <c r="AW630" i="1"/>
  <c r="AX630" i="1"/>
  <c r="AY630" i="1"/>
  <c r="AW631" i="1"/>
  <c r="AX631" i="1"/>
  <c r="AY631" i="1"/>
  <c r="AW632" i="1"/>
  <c r="AX632" i="1"/>
  <c r="AY632" i="1"/>
  <c r="AW633" i="1"/>
  <c r="AX633" i="1"/>
  <c r="AY633" i="1"/>
  <c r="AW634" i="1"/>
  <c r="AX634" i="1"/>
  <c r="AY634" i="1"/>
  <c r="AW635" i="1"/>
  <c r="AX635" i="1"/>
  <c r="AY635" i="1"/>
  <c r="AW636" i="1"/>
  <c r="AX636" i="1"/>
  <c r="AY636" i="1"/>
  <c r="AW637" i="1"/>
  <c r="AX637" i="1"/>
  <c r="AY637" i="1"/>
  <c r="AW638" i="1"/>
  <c r="AX638" i="1"/>
  <c r="AY638" i="1"/>
  <c r="AW639" i="1"/>
  <c r="AX639" i="1"/>
  <c r="AY639" i="1"/>
  <c r="AW640" i="1"/>
  <c r="AX640" i="1"/>
  <c r="AY640" i="1"/>
  <c r="AW641" i="1"/>
  <c r="AX641" i="1"/>
  <c r="AY641" i="1"/>
  <c r="AW642" i="1"/>
  <c r="AX642" i="1"/>
  <c r="AY642" i="1"/>
  <c r="AW643" i="1"/>
  <c r="AX643" i="1"/>
  <c r="AY643" i="1"/>
  <c r="AW644" i="1"/>
  <c r="AX644" i="1"/>
  <c r="AY644" i="1"/>
  <c r="AW645" i="1"/>
  <c r="AX645" i="1"/>
  <c r="AY645" i="1"/>
  <c r="AW646" i="1"/>
  <c r="AX646" i="1"/>
  <c r="AY646" i="1"/>
  <c r="AW647" i="1"/>
  <c r="AX647" i="1"/>
  <c r="AY647" i="1"/>
  <c r="AW648" i="1"/>
  <c r="AX648" i="1"/>
  <c r="AY648" i="1"/>
  <c r="AW649" i="1"/>
  <c r="AX649" i="1"/>
  <c r="AY649" i="1"/>
  <c r="AW650" i="1"/>
  <c r="AX650" i="1"/>
  <c r="AY650" i="1"/>
  <c r="AW651" i="1"/>
  <c r="AX651" i="1"/>
  <c r="AY651" i="1"/>
  <c r="AW652" i="1"/>
  <c r="AX652" i="1"/>
  <c r="AY652" i="1"/>
  <c r="AW653" i="1"/>
  <c r="AX653" i="1"/>
  <c r="AY653" i="1"/>
  <c r="AW654" i="1"/>
  <c r="AX654" i="1"/>
  <c r="AY654" i="1"/>
  <c r="AW655" i="1"/>
  <c r="AX655" i="1"/>
  <c r="AY655" i="1"/>
  <c r="AW656" i="1"/>
  <c r="AX656" i="1"/>
  <c r="AY656" i="1"/>
  <c r="AW657" i="1"/>
  <c r="AX657" i="1"/>
  <c r="AY657" i="1"/>
  <c r="AW658" i="1"/>
  <c r="AX658" i="1"/>
  <c r="AY658" i="1"/>
  <c r="AW659" i="1"/>
  <c r="AX659" i="1"/>
  <c r="AY659" i="1"/>
  <c r="AW660" i="1"/>
  <c r="AX660" i="1"/>
  <c r="AY660" i="1"/>
  <c r="AW661" i="1"/>
  <c r="AX661" i="1"/>
  <c r="AY661" i="1"/>
  <c r="AW662" i="1"/>
  <c r="AX662" i="1"/>
  <c r="AY662" i="1"/>
  <c r="AW663" i="1"/>
  <c r="AX663" i="1"/>
  <c r="AY663" i="1"/>
  <c r="AW664" i="1"/>
  <c r="AX664" i="1"/>
  <c r="AY664" i="1"/>
  <c r="AW665" i="1"/>
  <c r="AX665" i="1"/>
  <c r="AY665" i="1"/>
  <c r="AW666" i="1"/>
  <c r="AX666" i="1"/>
  <c r="AY666" i="1"/>
  <c r="AW667" i="1"/>
  <c r="AX667" i="1"/>
  <c r="AY667" i="1"/>
  <c r="AW668" i="1"/>
  <c r="AX668" i="1"/>
  <c r="AY668" i="1"/>
  <c r="AW669" i="1"/>
  <c r="AX669" i="1"/>
  <c r="AY669" i="1"/>
  <c r="AW670" i="1"/>
  <c r="AX670" i="1"/>
  <c r="AY670" i="1"/>
  <c r="AW671" i="1"/>
  <c r="AX671" i="1"/>
  <c r="AY671" i="1"/>
  <c r="AW672" i="1"/>
  <c r="AX672" i="1"/>
  <c r="AY672" i="1"/>
  <c r="AW673" i="1"/>
  <c r="AX673" i="1"/>
  <c r="AY673" i="1"/>
  <c r="AW674" i="1"/>
  <c r="AX674" i="1"/>
  <c r="AY674" i="1"/>
  <c r="AW675" i="1"/>
  <c r="AX675" i="1"/>
  <c r="AY675" i="1"/>
  <c r="AW676" i="1"/>
  <c r="AX676" i="1"/>
  <c r="AY676" i="1"/>
  <c r="AW677" i="1"/>
  <c r="AX677" i="1"/>
  <c r="AY677" i="1"/>
  <c r="AW678" i="1"/>
  <c r="AX678" i="1"/>
  <c r="AY678" i="1"/>
  <c r="AW679" i="1"/>
  <c r="AX679" i="1"/>
  <c r="AY679" i="1"/>
  <c r="AW680" i="1"/>
  <c r="AX680" i="1"/>
  <c r="AY680" i="1"/>
  <c r="AW681" i="1"/>
  <c r="AX681" i="1"/>
  <c r="AY681" i="1"/>
  <c r="AW682" i="1"/>
  <c r="AX682" i="1"/>
  <c r="AY682" i="1"/>
  <c r="AW683" i="1"/>
  <c r="AX683" i="1"/>
  <c r="AY683" i="1"/>
  <c r="AW684" i="1"/>
  <c r="AX684" i="1"/>
  <c r="AY684" i="1"/>
  <c r="AW685" i="1"/>
  <c r="AX685" i="1"/>
  <c r="AY685" i="1"/>
  <c r="AW686" i="1"/>
  <c r="AX686" i="1"/>
  <c r="AY686" i="1"/>
  <c r="AW687" i="1"/>
  <c r="AX687" i="1"/>
  <c r="AY687" i="1"/>
  <c r="AW688" i="1"/>
  <c r="AX688" i="1"/>
  <c r="AY688" i="1"/>
  <c r="AW689" i="1"/>
  <c r="AX689" i="1"/>
  <c r="AY689" i="1"/>
  <c r="AW690" i="1"/>
  <c r="AX690" i="1"/>
  <c r="AY690" i="1"/>
  <c r="AW691" i="1"/>
  <c r="AX691" i="1"/>
  <c r="AY691" i="1"/>
  <c r="AW692" i="1"/>
  <c r="AX692" i="1"/>
  <c r="AY692" i="1"/>
  <c r="AW693" i="1"/>
  <c r="AX693" i="1"/>
  <c r="AY693" i="1"/>
  <c r="AW694" i="1"/>
  <c r="AX694" i="1"/>
  <c r="AY694" i="1"/>
  <c r="AW695" i="1"/>
  <c r="AX695" i="1"/>
  <c r="AY695" i="1"/>
  <c r="AW696" i="1"/>
  <c r="AX696" i="1"/>
  <c r="AY696" i="1"/>
  <c r="AW697" i="1"/>
  <c r="AX697" i="1"/>
  <c r="AY697" i="1"/>
  <c r="AW698" i="1"/>
  <c r="AX698" i="1"/>
  <c r="AY698" i="1"/>
  <c r="AW699" i="1"/>
  <c r="AX699" i="1"/>
  <c r="AY699" i="1"/>
  <c r="AW700" i="1"/>
  <c r="AX700" i="1"/>
  <c r="AY700" i="1"/>
  <c r="AW701" i="1"/>
  <c r="AX701" i="1"/>
  <c r="AY701" i="1"/>
  <c r="AW702" i="1"/>
  <c r="AX702" i="1"/>
  <c r="AY702" i="1"/>
  <c r="AW703" i="1"/>
  <c r="AX703" i="1"/>
  <c r="AY703" i="1"/>
  <c r="AW704" i="1"/>
  <c r="AX704" i="1"/>
  <c r="AY704" i="1"/>
  <c r="AW705" i="1"/>
  <c r="AX705" i="1"/>
  <c r="AY705" i="1"/>
  <c r="AW706" i="1"/>
  <c r="AX706" i="1"/>
  <c r="AY706" i="1"/>
  <c r="AW707" i="1"/>
  <c r="AX707" i="1"/>
  <c r="AY707" i="1"/>
  <c r="AW708" i="1"/>
  <c r="AX708" i="1"/>
  <c r="AY708" i="1"/>
  <c r="AW709" i="1"/>
  <c r="AX709" i="1"/>
  <c r="AY709" i="1"/>
  <c r="AW710" i="1"/>
  <c r="AX710" i="1"/>
  <c r="AY710" i="1"/>
  <c r="AW711" i="1"/>
  <c r="AX711" i="1"/>
  <c r="AY711" i="1"/>
  <c r="AW712" i="1"/>
  <c r="AX712" i="1"/>
  <c r="AY712" i="1"/>
  <c r="AW713" i="1"/>
  <c r="AX713" i="1"/>
  <c r="AY713" i="1"/>
  <c r="AW714" i="1"/>
  <c r="AX714" i="1"/>
  <c r="AY714" i="1"/>
  <c r="AW715" i="1"/>
  <c r="AX715" i="1"/>
  <c r="AY715" i="1"/>
  <c r="AW716" i="1"/>
  <c r="AX716" i="1"/>
  <c r="AY716" i="1"/>
  <c r="AW717" i="1"/>
  <c r="AX717" i="1"/>
  <c r="AY717" i="1"/>
  <c r="AW718" i="1"/>
  <c r="AX718" i="1"/>
  <c r="AY718" i="1"/>
  <c r="AW719" i="1"/>
  <c r="AX719" i="1"/>
  <c r="AY719" i="1"/>
  <c r="AW720" i="1"/>
  <c r="AX720" i="1"/>
  <c r="AY720" i="1"/>
  <c r="AW721" i="1"/>
  <c r="AX721" i="1"/>
  <c r="AY721" i="1"/>
  <c r="AW722" i="1"/>
  <c r="AX722" i="1"/>
  <c r="AY722" i="1"/>
  <c r="AW723" i="1"/>
  <c r="AX723" i="1"/>
  <c r="AY723" i="1"/>
  <c r="AW724" i="1"/>
  <c r="AX724" i="1"/>
  <c r="AY724" i="1"/>
  <c r="AW725" i="1"/>
  <c r="AX725" i="1"/>
  <c r="AY725" i="1"/>
  <c r="AW726" i="1"/>
  <c r="AX726" i="1"/>
  <c r="AY726" i="1"/>
  <c r="AW727" i="1"/>
  <c r="AX727" i="1"/>
  <c r="AY727" i="1"/>
  <c r="AW728" i="1"/>
  <c r="AX728" i="1"/>
  <c r="AY728" i="1"/>
  <c r="AW729" i="1"/>
  <c r="AX729" i="1"/>
  <c r="AY729" i="1"/>
  <c r="AW730" i="1"/>
  <c r="AX730" i="1"/>
  <c r="AY730" i="1"/>
  <c r="AW731" i="1"/>
  <c r="AX731" i="1"/>
  <c r="AY731" i="1"/>
  <c r="AW732" i="1"/>
  <c r="AX732" i="1"/>
  <c r="AY732" i="1"/>
  <c r="AW733" i="1"/>
  <c r="AX733" i="1"/>
  <c r="AY733" i="1"/>
  <c r="AW734" i="1"/>
  <c r="AX734" i="1"/>
  <c r="AY734" i="1"/>
  <c r="AW735" i="1"/>
  <c r="AX735" i="1"/>
  <c r="AY735" i="1"/>
  <c r="AW736" i="1"/>
  <c r="AX736" i="1"/>
  <c r="AY736" i="1"/>
  <c r="AW737" i="1"/>
  <c r="AX737" i="1"/>
  <c r="AY737" i="1"/>
  <c r="AW738" i="1"/>
  <c r="AX738" i="1"/>
  <c r="AY738" i="1"/>
  <c r="AW739" i="1"/>
  <c r="AX739" i="1"/>
  <c r="AY739" i="1"/>
  <c r="AW740" i="1"/>
  <c r="AX740" i="1"/>
  <c r="AY740" i="1"/>
  <c r="AW741" i="1"/>
  <c r="AX741" i="1"/>
  <c r="AY741" i="1"/>
  <c r="AW742" i="1"/>
  <c r="AX742" i="1"/>
  <c r="AY742" i="1"/>
  <c r="AW743" i="1"/>
  <c r="AX743" i="1"/>
  <c r="AY743" i="1"/>
  <c r="AW744" i="1"/>
  <c r="AX744" i="1"/>
  <c r="AY744" i="1"/>
  <c r="AW745" i="1"/>
  <c r="AX745" i="1"/>
  <c r="AY745" i="1"/>
  <c r="AW746" i="1"/>
  <c r="AX746" i="1"/>
  <c r="AY746" i="1"/>
  <c r="AW747" i="1"/>
  <c r="AX747" i="1"/>
  <c r="AY747" i="1"/>
  <c r="AW748" i="1"/>
  <c r="AX748" i="1"/>
  <c r="AY748" i="1"/>
  <c r="AW749" i="1"/>
  <c r="AX749" i="1"/>
  <c r="AY749" i="1"/>
  <c r="AW750" i="1"/>
  <c r="AX750" i="1"/>
  <c r="AY750" i="1"/>
  <c r="AW751" i="1"/>
  <c r="AX751" i="1"/>
  <c r="AY751" i="1"/>
  <c r="AW752" i="1"/>
  <c r="AX752" i="1"/>
  <c r="AY752" i="1"/>
  <c r="AW753" i="1"/>
  <c r="AX753" i="1"/>
  <c r="AY753" i="1"/>
  <c r="AW754" i="1"/>
  <c r="AX754" i="1"/>
  <c r="AY754" i="1"/>
  <c r="AW755" i="1"/>
  <c r="AX755" i="1"/>
  <c r="AY755" i="1"/>
  <c r="AW756" i="1"/>
  <c r="AX756" i="1"/>
  <c r="AY756" i="1"/>
  <c r="AW757" i="1"/>
  <c r="AX757" i="1"/>
  <c r="AY757" i="1"/>
  <c r="AW758" i="1"/>
  <c r="AX758" i="1"/>
  <c r="AY758" i="1"/>
  <c r="AW759" i="1"/>
  <c r="AX759" i="1"/>
  <c r="AY759" i="1"/>
  <c r="AW760" i="1"/>
  <c r="AX760" i="1"/>
  <c r="AY760" i="1"/>
  <c r="AW761" i="1"/>
  <c r="AX761" i="1"/>
  <c r="AY761" i="1"/>
  <c r="AW762" i="1"/>
  <c r="AX762" i="1"/>
  <c r="AY762" i="1"/>
  <c r="AW763" i="1"/>
  <c r="AX763" i="1"/>
  <c r="AY763" i="1"/>
  <c r="AW764" i="1"/>
  <c r="AX764" i="1"/>
  <c r="AY764" i="1"/>
  <c r="AW765" i="1"/>
  <c r="AX765" i="1"/>
  <c r="AY765" i="1"/>
  <c r="AW766" i="1"/>
  <c r="AX766" i="1"/>
  <c r="AY766" i="1"/>
  <c r="AW767" i="1"/>
  <c r="AX767" i="1"/>
  <c r="AY767" i="1"/>
  <c r="AW768" i="1"/>
  <c r="AX768" i="1"/>
  <c r="AY768" i="1"/>
  <c r="AW769" i="1"/>
  <c r="AX769" i="1"/>
  <c r="AY769" i="1"/>
  <c r="AW770" i="1"/>
  <c r="AX770" i="1"/>
  <c r="AY770" i="1"/>
  <c r="AW771" i="1"/>
  <c r="AX771" i="1"/>
  <c r="AY771" i="1"/>
  <c r="AW772" i="1"/>
  <c r="AX772" i="1"/>
  <c r="AY772" i="1"/>
  <c r="AW773" i="1"/>
  <c r="AX773" i="1"/>
  <c r="AY773" i="1"/>
  <c r="AW774" i="1"/>
  <c r="AX774" i="1"/>
  <c r="AY774" i="1"/>
  <c r="AW775" i="1"/>
  <c r="AX775" i="1"/>
  <c r="AY775" i="1"/>
  <c r="AW776" i="1"/>
  <c r="AX776" i="1"/>
  <c r="AY776" i="1"/>
  <c r="AW777" i="1"/>
  <c r="AX777" i="1"/>
  <c r="AY777" i="1"/>
  <c r="AW778" i="1"/>
  <c r="AX778" i="1"/>
  <c r="AY778" i="1"/>
  <c r="AW779" i="1"/>
  <c r="AX779" i="1"/>
  <c r="AY779" i="1"/>
  <c r="AW780" i="1"/>
  <c r="AX780" i="1"/>
  <c r="AY780" i="1"/>
  <c r="AW781" i="1"/>
  <c r="AX781" i="1"/>
  <c r="AY781" i="1"/>
  <c r="AW782" i="1"/>
  <c r="AX782" i="1"/>
  <c r="AY782" i="1"/>
  <c r="AW783" i="1"/>
  <c r="AX783" i="1"/>
  <c r="AY783" i="1"/>
  <c r="AW784" i="1"/>
  <c r="AX784" i="1"/>
  <c r="AY784" i="1"/>
  <c r="AW785" i="1"/>
  <c r="AX785" i="1"/>
  <c r="AY785" i="1"/>
  <c r="AW786" i="1"/>
  <c r="AX786" i="1"/>
  <c r="AY786" i="1"/>
  <c r="AW787" i="1"/>
  <c r="AX787" i="1"/>
  <c r="AY787" i="1"/>
  <c r="AW788" i="1"/>
  <c r="AX788" i="1"/>
  <c r="AY788" i="1"/>
  <c r="AW789" i="1"/>
  <c r="AX789" i="1"/>
  <c r="AY789" i="1"/>
  <c r="AW790" i="1"/>
  <c r="AX790" i="1"/>
  <c r="AY790" i="1"/>
  <c r="AW791" i="1"/>
  <c r="AX791" i="1"/>
  <c r="AY791" i="1"/>
  <c r="AW792" i="1"/>
  <c r="AX792" i="1"/>
  <c r="AY792" i="1"/>
  <c r="AW793" i="1"/>
  <c r="AX793" i="1"/>
  <c r="AY793" i="1"/>
  <c r="AW794" i="1"/>
  <c r="AX794" i="1"/>
  <c r="AY794" i="1"/>
  <c r="AW795" i="1"/>
  <c r="AX795" i="1"/>
  <c r="AY795" i="1"/>
  <c r="AW796" i="1"/>
  <c r="AX796" i="1"/>
  <c r="AY796" i="1"/>
  <c r="AW797" i="1"/>
  <c r="AX797" i="1"/>
  <c r="AY797" i="1"/>
  <c r="AW798" i="1"/>
  <c r="AX798" i="1"/>
  <c r="AY798" i="1"/>
  <c r="AW799" i="1"/>
  <c r="AX799" i="1"/>
  <c r="AY799" i="1"/>
  <c r="AW800" i="1"/>
  <c r="AX800" i="1"/>
  <c r="AY800" i="1"/>
  <c r="AW801" i="1"/>
  <c r="AX801" i="1"/>
  <c r="AY801" i="1"/>
  <c r="AW802" i="1"/>
  <c r="AX802" i="1"/>
  <c r="AY802" i="1"/>
  <c r="AW803" i="1"/>
  <c r="AX803" i="1"/>
  <c r="AY803" i="1"/>
  <c r="AW804" i="1"/>
  <c r="AX804" i="1"/>
  <c r="AY804" i="1"/>
  <c r="AW805" i="1"/>
  <c r="AX805" i="1"/>
  <c r="AY805" i="1"/>
  <c r="AW806" i="1"/>
  <c r="AX806" i="1"/>
  <c r="AY806" i="1"/>
  <c r="AW807" i="1"/>
  <c r="AX807" i="1"/>
  <c r="AY807" i="1"/>
  <c r="AW808" i="1"/>
  <c r="AX808" i="1"/>
  <c r="AY808" i="1"/>
  <c r="AW809" i="1"/>
  <c r="AX809" i="1"/>
  <c r="AY809" i="1"/>
  <c r="AW810" i="1"/>
  <c r="AX810" i="1"/>
  <c r="AY810" i="1"/>
  <c r="AW811" i="1"/>
  <c r="AX811" i="1"/>
  <c r="AY811" i="1"/>
  <c r="AW812" i="1"/>
  <c r="AX812" i="1"/>
  <c r="AY812" i="1"/>
  <c r="AW813" i="1"/>
  <c r="AX813" i="1"/>
  <c r="AY813" i="1"/>
  <c r="AW814" i="1"/>
  <c r="AX814" i="1"/>
  <c r="AY814" i="1"/>
  <c r="AW815" i="1"/>
  <c r="AX815" i="1"/>
  <c r="AY815" i="1"/>
  <c r="AW816" i="1"/>
  <c r="AX816" i="1"/>
  <c r="AY816" i="1"/>
  <c r="AW817" i="1"/>
  <c r="AX817" i="1"/>
  <c r="AY817" i="1"/>
  <c r="AW818" i="1"/>
  <c r="AX818" i="1"/>
  <c r="AY818" i="1"/>
  <c r="AW819" i="1"/>
  <c r="AX819" i="1"/>
  <c r="AY819" i="1"/>
  <c r="AW820" i="1"/>
  <c r="AX820" i="1"/>
  <c r="AY820" i="1"/>
  <c r="AW821" i="1"/>
  <c r="AX821" i="1"/>
  <c r="AY821" i="1"/>
  <c r="AW822" i="1"/>
  <c r="AX822" i="1"/>
  <c r="AY822" i="1"/>
  <c r="AW823" i="1"/>
  <c r="AX823" i="1"/>
  <c r="AY823" i="1"/>
  <c r="AW824" i="1"/>
  <c r="AX824" i="1"/>
  <c r="AY824" i="1"/>
  <c r="AW825" i="1"/>
  <c r="AX825" i="1"/>
  <c r="AY825" i="1"/>
  <c r="AW826" i="1"/>
  <c r="AX826" i="1"/>
  <c r="AY826" i="1"/>
  <c r="AW827" i="1"/>
  <c r="AX827" i="1"/>
  <c r="AY827" i="1"/>
  <c r="AW828" i="1"/>
  <c r="AX828" i="1"/>
  <c r="AY828" i="1"/>
  <c r="AW829" i="1"/>
  <c r="AX829" i="1"/>
  <c r="AY829" i="1"/>
  <c r="AW830" i="1"/>
  <c r="AX830" i="1"/>
  <c r="AY830" i="1"/>
  <c r="AW831" i="1"/>
  <c r="AX831" i="1"/>
  <c r="AY831" i="1"/>
  <c r="AW832" i="1"/>
  <c r="AX832" i="1"/>
  <c r="AY832" i="1"/>
  <c r="AW833" i="1"/>
  <c r="AX833" i="1"/>
  <c r="AY833" i="1"/>
  <c r="AW834" i="1"/>
  <c r="AX834" i="1"/>
  <c r="AY834" i="1"/>
  <c r="AW835" i="1"/>
  <c r="AX835" i="1"/>
  <c r="AY835" i="1"/>
  <c r="AW836" i="1"/>
  <c r="AX836" i="1"/>
  <c r="AY836" i="1"/>
  <c r="AW837" i="1"/>
  <c r="AX837" i="1"/>
  <c r="AY837" i="1"/>
  <c r="AW838" i="1"/>
  <c r="AX838" i="1"/>
  <c r="AY838" i="1"/>
  <c r="AW839" i="1"/>
  <c r="AX839" i="1"/>
  <c r="AY839" i="1"/>
  <c r="AW840" i="1"/>
  <c r="AX840" i="1"/>
  <c r="AY840" i="1"/>
  <c r="AW841" i="1"/>
  <c r="AX841" i="1"/>
  <c r="AY841" i="1"/>
  <c r="AW842" i="1"/>
  <c r="AX842" i="1"/>
  <c r="AY842" i="1"/>
  <c r="AW843" i="1"/>
  <c r="AX843" i="1"/>
  <c r="AY843" i="1"/>
  <c r="AW844" i="1"/>
  <c r="AX844" i="1"/>
  <c r="AY844" i="1"/>
  <c r="AW845" i="1"/>
  <c r="AX845" i="1"/>
  <c r="AY845" i="1"/>
  <c r="AW846" i="1"/>
  <c r="AX846" i="1"/>
  <c r="AY846" i="1"/>
  <c r="AW847" i="1"/>
  <c r="AX847" i="1"/>
  <c r="AY847" i="1"/>
  <c r="AW848" i="1"/>
  <c r="AX848" i="1"/>
  <c r="AY848" i="1"/>
  <c r="AW849" i="1"/>
  <c r="AX849" i="1"/>
  <c r="AY849" i="1"/>
  <c r="AW850" i="1"/>
  <c r="AX850" i="1"/>
  <c r="AY850" i="1"/>
  <c r="AW851" i="1"/>
  <c r="AX851" i="1"/>
  <c r="AY851" i="1"/>
  <c r="AW852" i="1"/>
  <c r="AX852" i="1"/>
  <c r="AY852" i="1"/>
  <c r="AW853" i="1"/>
  <c r="AX853" i="1"/>
  <c r="AY853" i="1"/>
  <c r="AW854" i="1"/>
  <c r="AX854" i="1"/>
  <c r="AY854" i="1"/>
  <c r="AW855" i="1"/>
  <c r="AX855" i="1"/>
  <c r="AY855" i="1"/>
  <c r="AW856" i="1"/>
  <c r="AX856" i="1"/>
  <c r="AY856" i="1"/>
  <c r="AW857" i="1"/>
  <c r="AX857" i="1"/>
  <c r="AY857" i="1"/>
  <c r="AW858" i="1"/>
  <c r="AX858" i="1"/>
  <c r="AY858" i="1"/>
  <c r="AW859" i="1"/>
  <c r="AX859" i="1"/>
  <c r="AY859" i="1"/>
  <c r="AW860" i="1"/>
  <c r="AX860" i="1"/>
  <c r="AY860" i="1"/>
  <c r="AW861" i="1"/>
  <c r="AX861" i="1"/>
  <c r="AY861" i="1"/>
  <c r="AW862" i="1"/>
  <c r="AX862" i="1"/>
  <c r="AY862" i="1"/>
  <c r="AW863" i="1"/>
  <c r="AX863" i="1"/>
  <c r="AY863" i="1"/>
  <c r="AW864" i="1"/>
  <c r="AX864" i="1"/>
  <c r="AY864" i="1"/>
  <c r="AW865" i="1"/>
  <c r="AX865" i="1"/>
  <c r="AY865" i="1"/>
  <c r="AW866" i="1"/>
  <c r="AX866" i="1"/>
  <c r="AY866" i="1"/>
  <c r="AW867" i="1"/>
  <c r="AX867" i="1"/>
  <c r="AY867" i="1"/>
  <c r="AW868" i="1"/>
  <c r="AX868" i="1"/>
  <c r="AY868" i="1"/>
  <c r="AW869" i="1"/>
  <c r="AX869" i="1"/>
  <c r="AY869" i="1"/>
  <c r="AW870" i="1"/>
  <c r="AX870" i="1"/>
  <c r="AY870" i="1"/>
  <c r="AW871" i="1"/>
  <c r="AX871" i="1"/>
  <c r="AY871" i="1"/>
  <c r="AW872" i="1"/>
  <c r="AX872" i="1"/>
  <c r="AY872" i="1"/>
  <c r="AW873" i="1"/>
  <c r="AX873" i="1"/>
  <c r="AY873" i="1"/>
  <c r="AW874" i="1"/>
  <c r="AX874" i="1"/>
  <c r="AY874" i="1"/>
  <c r="AW875" i="1"/>
  <c r="AX875" i="1"/>
  <c r="AY875" i="1"/>
  <c r="AW876" i="1"/>
  <c r="AX876" i="1"/>
  <c r="AY876" i="1"/>
  <c r="AW877" i="1"/>
  <c r="AX877" i="1"/>
  <c r="AY877" i="1"/>
  <c r="AW878" i="1"/>
  <c r="AX878" i="1"/>
  <c r="AY878" i="1"/>
  <c r="AW879" i="1"/>
  <c r="AX879" i="1"/>
  <c r="AY879" i="1"/>
  <c r="AW880" i="1"/>
  <c r="AX880" i="1"/>
  <c r="AY880" i="1"/>
  <c r="AW881" i="1"/>
  <c r="AX881" i="1"/>
  <c r="AY881" i="1"/>
  <c r="AW882" i="1"/>
  <c r="AX882" i="1"/>
  <c r="AY882" i="1"/>
  <c r="AW883" i="1"/>
  <c r="AX883" i="1"/>
  <c r="AY883" i="1"/>
  <c r="AW884" i="1"/>
  <c r="AX884" i="1"/>
  <c r="AY884" i="1"/>
  <c r="AW885" i="1"/>
  <c r="AX885" i="1"/>
  <c r="AY885" i="1"/>
  <c r="AW886" i="1"/>
  <c r="AX886" i="1"/>
  <c r="AY886" i="1"/>
  <c r="AW887" i="1"/>
  <c r="AX887" i="1"/>
  <c r="AY887" i="1"/>
  <c r="AW888" i="1"/>
  <c r="AX888" i="1"/>
  <c r="AY888" i="1"/>
  <c r="AW889" i="1"/>
  <c r="AX889" i="1"/>
  <c r="AY889" i="1"/>
  <c r="AW890" i="1"/>
  <c r="AX890" i="1"/>
  <c r="AY890" i="1"/>
  <c r="AW891" i="1"/>
  <c r="AX891" i="1"/>
  <c r="AY891" i="1"/>
  <c r="AW892" i="1"/>
  <c r="AX892" i="1"/>
  <c r="AY892" i="1"/>
  <c r="AW893" i="1"/>
  <c r="AX893" i="1"/>
  <c r="AY893" i="1"/>
  <c r="AW894" i="1"/>
  <c r="AX894" i="1"/>
  <c r="AY894" i="1"/>
  <c r="AW895" i="1"/>
  <c r="AX895" i="1"/>
  <c r="AY895" i="1"/>
  <c r="AW896" i="1"/>
  <c r="AX896" i="1"/>
  <c r="AY896" i="1"/>
  <c r="AW897" i="1"/>
  <c r="AX897" i="1"/>
  <c r="AY897" i="1"/>
  <c r="AW898" i="1"/>
  <c r="AX898" i="1"/>
  <c r="AY898" i="1"/>
  <c r="AW899" i="1"/>
  <c r="AX899" i="1"/>
  <c r="AY899" i="1"/>
  <c r="AW900" i="1"/>
  <c r="AX900" i="1"/>
  <c r="AY900" i="1"/>
  <c r="AW901" i="1"/>
  <c r="AX901" i="1"/>
  <c r="AY901" i="1"/>
  <c r="AW902" i="1"/>
  <c r="AX902" i="1"/>
  <c r="AY902" i="1"/>
  <c r="AW903" i="1"/>
  <c r="AX903" i="1"/>
  <c r="AY903" i="1"/>
  <c r="AW904" i="1"/>
  <c r="AX904" i="1"/>
  <c r="AY904" i="1"/>
  <c r="AW905" i="1"/>
  <c r="AX905" i="1"/>
  <c r="AY905" i="1"/>
  <c r="AW906" i="1"/>
  <c r="AX906" i="1"/>
  <c r="AY906" i="1"/>
  <c r="AW907" i="1"/>
  <c r="AX907" i="1"/>
  <c r="AY907" i="1"/>
  <c r="AW908" i="1"/>
  <c r="AX908" i="1"/>
  <c r="AY908" i="1"/>
  <c r="AW909" i="1"/>
  <c r="AX909" i="1"/>
  <c r="AY909" i="1"/>
  <c r="AW910" i="1"/>
  <c r="AX910" i="1"/>
  <c r="AY910" i="1"/>
  <c r="AW911" i="1"/>
  <c r="AX911" i="1"/>
  <c r="AY911" i="1"/>
  <c r="AW912" i="1"/>
  <c r="AX912" i="1"/>
  <c r="AY912" i="1"/>
  <c r="AW913" i="1"/>
  <c r="AX913" i="1"/>
  <c r="AY913" i="1"/>
  <c r="AW914" i="1"/>
  <c r="AX914" i="1"/>
  <c r="AY914" i="1"/>
  <c r="AW915" i="1"/>
  <c r="AX915" i="1"/>
  <c r="AY915" i="1"/>
  <c r="AW916" i="1"/>
  <c r="AX916" i="1"/>
  <c r="AY916" i="1"/>
  <c r="AW917" i="1"/>
  <c r="AX917" i="1"/>
  <c r="AY917" i="1"/>
  <c r="AW918" i="1"/>
  <c r="AX918" i="1"/>
  <c r="AY918" i="1"/>
  <c r="AW919" i="1"/>
  <c r="AX919" i="1"/>
  <c r="AY919" i="1"/>
  <c r="AW920" i="1"/>
  <c r="AX920" i="1"/>
  <c r="AY920" i="1"/>
  <c r="AW921" i="1"/>
  <c r="AX921" i="1"/>
  <c r="AY921" i="1"/>
  <c r="AW922" i="1"/>
  <c r="AX922" i="1"/>
  <c r="AY922" i="1"/>
  <c r="AW923" i="1"/>
  <c r="AX923" i="1"/>
  <c r="AY923" i="1"/>
  <c r="AW924" i="1"/>
  <c r="AX924" i="1"/>
  <c r="AY924" i="1"/>
  <c r="AW925" i="1"/>
  <c r="AX925" i="1"/>
  <c r="AY925" i="1"/>
  <c r="AW926" i="1"/>
  <c r="AX926" i="1"/>
  <c r="AY926" i="1"/>
  <c r="AW927" i="1"/>
  <c r="AX927" i="1"/>
  <c r="AY927" i="1"/>
  <c r="AW928" i="1"/>
  <c r="AX928" i="1"/>
  <c r="AY928" i="1"/>
  <c r="AW929" i="1"/>
  <c r="AX929" i="1"/>
  <c r="AY929" i="1"/>
  <c r="AW930" i="1"/>
  <c r="AX930" i="1"/>
  <c r="AY930" i="1"/>
  <c r="AW931" i="1"/>
  <c r="AX931" i="1"/>
  <c r="AY931" i="1"/>
  <c r="AW932" i="1"/>
  <c r="AX932" i="1"/>
  <c r="AY932" i="1"/>
  <c r="AW933" i="1"/>
  <c r="AX933" i="1"/>
  <c r="AY933" i="1"/>
  <c r="AW934" i="1"/>
  <c r="AX934" i="1"/>
  <c r="AY934" i="1"/>
  <c r="AW935" i="1"/>
  <c r="AX935" i="1"/>
  <c r="AY935" i="1"/>
  <c r="AW936" i="1"/>
  <c r="AX936" i="1"/>
  <c r="AY936" i="1"/>
  <c r="AW937" i="1"/>
  <c r="AX937" i="1"/>
  <c r="AY937" i="1"/>
  <c r="AW938" i="1"/>
  <c r="AX938" i="1"/>
  <c r="AY938" i="1"/>
  <c r="AW939" i="1"/>
  <c r="AX939" i="1"/>
  <c r="AY939" i="1"/>
  <c r="AW940" i="1"/>
  <c r="AX940" i="1"/>
  <c r="AY940" i="1"/>
  <c r="AW941" i="1"/>
  <c r="AX941" i="1"/>
  <c r="AY941" i="1"/>
  <c r="AW942" i="1"/>
  <c r="AX942" i="1"/>
  <c r="AY942" i="1"/>
  <c r="AW943" i="1"/>
  <c r="AX943" i="1"/>
  <c r="AY943" i="1"/>
  <c r="AW944" i="1"/>
  <c r="AX944" i="1"/>
  <c r="AY944" i="1"/>
  <c r="AW945" i="1"/>
  <c r="AX945" i="1"/>
  <c r="AY945" i="1"/>
  <c r="AW946" i="1"/>
  <c r="AX946" i="1"/>
  <c r="AY946" i="1"/>
  <c r="AW947" i="1"/>
  <c r="AX947" i="1"/>
  <c r="AY947" i="1"/>
  <c r="AW948" i="1"/>
  <c r="AX948" i="1"/>
  <c r="AY948" i="1"/>
  <c r="AW949" i="1"/>
  <c r="AX949" i="1"/>
  <c r="AY949" i="1"/>
  <c r="AW950" i="1"/>
  <c r="AX950" i="1"/>
  <c r="AY950" i="1"/>
  <c r="AW951" i="1"/>
  <c r="AX951" i="1"/>
  <c r="AY951" i="1"/>
  <c r="AW952" i="1"/>
  <c r="AX952" i="1"/>
  <c r="AY952" i="1"/>
  <c r="AW953" i="1"/>
  <c r="AX953" i="1"/>
  <c r="AY953" i="1"/>
  <c r="AW954" i="1"/>
  <c r="AX954" i="1"/>
  <c r="AY954" i="1"/>
  <c r="AW955" i="1"/>
  <c r="AX955" i="1"/>
  <c r="AY955" i="1"/>
  <c r="AW956" i="1"/>
  <c r="AX956" i="1"/>
  <c r="AY956" i="1"/>
  <c r="AW957" i="1"/>
  <c r="AX957" i="1"/>
  <c r="AY957" i="1"/>
  <c r="AW958" i="1"/>
  <c r="AX958" i="1"/>
  <c r="AY958" i="1"/>
  <c r="AW959" i="1"/>
  <c r="AX959" i="1"/>
  <c r="AY959" i="1"/>
  <c r="AW960" i="1"/>
  <c r="AX960" i="1"/>
  <c r="AY960" i="1"/>
  <c r="AW961" i="1"/>
  <c r="AX961" i="1"/>
  <c r="AY961" i="1"/>
  <c r="AW962" i="1"/>
  <c r="AX962" i="1"/>
  <c r="AY962" i="1"/>
  <c r="AW963" i="1"/>
  <c r="AX963" i="1"/>
  <c r="AY963" i="1"/>
  <c r="AW964" i="1"/>
  <c r="AX964" i="1"/>
  <c r="AY964" i="1"/>
  <c r="AW965" i="1"/>
  <c r="AX965" i="1"/>
  <c r="AY965" i="1"/>
  <c r="AW966" i="1"/>
  <c r="AX966" i="1"/>
  <c r="AY966" i="1"/>
  <c r="AW967" i="1"/>
  <c r="AX967" i="1"/>
  <c r="AY967" i="1"/>
  <c r="AW968" i="1"/>
  <c r="AX968" i="1"/>
  <c r="AY968" i="1"/>
  <c r="AW969" i="1"/>
  <c r="AX969" i="1"/>
  <c r="AY969" i="1"/>
  <c r="AW970" i="1"/>
  <c r="AX970" i="1"/>
  <c r="AY970" i="1"/>
  <c r="AW971" i="1"/>
  <c r="AX971" i="1"/>
  <c r="AY971" i="1"/>
  <c r="AW972" i="1"/>
  <c r="AX972" i="1"/>
  <c r="AY972" i="1"/>
  <c r="AW973" i="1"/>
  <c r="AX973" i="1"/>
  <c r="AY973" i="1"/>
  <c r="AW974" i="1"/>
  <c r="AX974" i="1"/>
  <c r="AY974" i="1"/>
  <c r="AW975" i="1"/>
  <c r="AX975" i="1"/>
  <c r="AY975" i="1"/>
  <c r="AW976" i="1"/>
  <c r="AX976" i="1"/>
  <c r="AY976" i="1"/>
  <c r="AW977" i="1"/>
  <c r="AX977" i="1"/>
  <c r="AY977" i="1"/>
  <c r="AW978" i="1"/>
  <c r="AX978" i="1"/>
  <c r="AY978" i="1"/>
  <c r="AW979" i="1"/>
  <c r="AX979" i="1"/>
  <c r="AY979" i="1"/>
  <c r="AW980" i="1"/>
  <c r="AX980" i="1"/>
  <c r="AY980" i="1"/>
  <c r="AW981" i="1"/>
  <c r="AX981" i="1"/>
  <c r="AY981" i="1"/>
  <c r="AW982" i="1"/>
  <c r="AX982" i="1"/>
  <c r="AY982" i="1"/>
  <c r="AW983" i="1"/>
  <c r="AX983" i="1"/>
  <c r="AY983" i="1"/>
  <c r="AW984" i="1"/>
  <c r="AX984" i="1"/>
  <c r="AY984" i="1"/>
  <c r="AW985" i="1"/>
  <c r="AX985" i="1"/>
  <c r="AY985" i="1"/>
  <c r="AW986" i="1"/>
  <c r="AX986" i="1"/>
  <c r="AY986" i="1"/>
  <c r="AW987" i="1"/>
  <c r="AX987" i="1"/>
  <c r="AY987" i="1"/>
  <c r="AW988" i="1"/>
  <c r="AX988" i="1"/>
  <c r="AY988" i="1"/>
  <c r="AW989" i="1"/>
  <c r="AX989" i="1"/>
  <c r="AY989" i="1"/>
  <c r="AW990" i="1"/>
  <c r="AX990" i="1"/>
  <c r="AY990" i="1"/>
  <c r="AW991" i="1"/>
  <c r="AX991" i="1"/>
  <c r="AY991" i="1"/>
  <c r="AW992" i="1"/>
  <c r="AX992" i="1"/>
  <c r="AY992" i="1"/>
  <c r="AW993" i="1"/>
  <c r="AX993" i="1"/>
  <c r="AY993" i="1"/>
  <c r="AW994" i="1"/>
  <c r="AX994" i="1"/>
  <c r="AY994" i="1"/>
  <c r="AW995" i="1"/>
  <c r="AX995" i="1"/>
  <c r="AY995" i="1"/>
  <c r="AW996" i="1"/>
  <c r="AX996" i="1"/>
  <c r="AY996" i="1"/>
  <c r="AW997" i="1"/>
  <c r="AX997" i="1"/>
  <c r="AY997" i="1"/>
  <c r="AW998" i="1"/>
  <c r="AX998" i="1"/>
  <c r="AY998" i="1"/>
  <c r="AW999" i="1"/>
  <c r="AX999" i="1"/>
  <c r="AY999" i="1"/>
  <c r="AW1000" i="1"/>
  <c r="AX1000" i="1"/>
  <c r="AY1000" i="1"/>
  <c r="AW1001" i="1"/>
  <c r="AX1001" i="1"/>
  <c r="AY1001" i="1"/>
  <c r="AW1002" i="1"/>
  <c r="AX1002" i="1"/>
  <c r="AY1002" i="1"/>
  <c r="AW1003" i="1"/>
  <c r="AX1003" i="1"/>
  <c r="AY1003" i="1"/>
  <c r="AW1004" i="1"/>
  <c r="AX1004" i="1"/>
  <c r="AY1004" i="1"/>
  <c r="AW1005" i="1"/>
  <c r="AX1005" i="1"/>
  <c r="AY1005" i="1"/>
  <c r="AW1006" i="1"/>
  <c r="AX1006" i="1"/>
  <c r="AY1006" i="1"/>
  <c r="AW1007" i="1"/>
  <c r="AX1007" i="1"/>
  <c r="AY1007" i="1"/>
  <c r="AW1008" i="1"/>
  <c r="AX1008" i="1"/>
  <c r="AY1008" i="1"/>
  <c r="AW1009" i="1"/>
  <c r="AX1009" i="1"/>
  <c r="AY1009" i="1"/>
  <c r="AW1010" i="1"/>
  <c r="AX1010" i="1"/>
  <c r="AY1010" i="1"/>
  <c r="AW1011" i="1"/>
  <c r="AX1011" i="1"/>
  <c r="AY1011" i="1"/>
  <c r="AW1012" i="1"/>
  <c r="AX1012" i="1"/>
  <c r="AY1012" i="1"/>
  <c r="AW1013" i="1"/>
  <c r="AX1013" i="1"/>
  <c r="AY1013" i="1"/>
  <c r="AW1014" i="1"/>
  <c r="AX1014" i="1"/>
  <c r="AY1014" i="1"/>
  <c r="AW1015" i="1"/>
  <c r="AX1015" i="1"/>
  <c r="AY1015" i="1"/>
  <c r="AW1016" i="1"/>
  <c r="AX1016" i="1"/>
  <c r="AY1016" i="1"/>
  <c r="AW1017" i="1"/>
  <c r="AX1017" i="1"/>
  <c r="AY1017" i="1"/>
  <c r="AW1018" i="1"/>
  <c r="AX1018" i="1"/>
  <c r="AY1018" i="1"/>
  <c r="AW1019" i="1"/>
  <c r="AX1019" i="1"/>
  <c r="AY1019" i="1"/>
  <c r="AW1020" i="1"/>
  <c r="AX1020" i="1"/>
  <c r="AY1020" i="1"/>
  <c r="AW1021" i="1"/>
  <c r="AX1021" i="1"/>
  <c r="AY1021" i="1"/>
  <c r="AW1022" i="1"/>
  <c r="AX1022" i="1"/>
  <c r="AY1022" i="1"/>
  <c r="AW1023" i="1"/>
  <c r="AX1023" i="1"/>
  <c r="AY1023" i="1"/>
  <c r="AW1024" i="1"/>
  <c r="AX1024" i="1"/>
  <c r="AY1024" i="1"/>
  <c r="AW1025" i="1"/>
  <c r="AX1025" i="1"/>
  <c r="AY1025" i="1"/>
  <c r="AW1026" i="1"/>
  <c r="AX1026" i="1"/>
  <c r="AY1026" i="1"/>
  <c r="AW1027" i="1"/>
  <c r="AX1027" i="1"/>
  <c r="AY1027" i="1"/>
  <c r="AW1028" i="1"/>
  <c r="AX1028" i="1"/>
  <c r="AY1028" i="1"/>
  <c r="AW1029" i="1"/>
  <c r="AX1029" i="1"/>
  <c r="AY1029" i="1"/>
  <c r="AW1030" i="1"/>
  <c r="AX1030" i="1"/>
  <c r="AY1030" i="1"/>
  <c r="AW1031" i="1"/>
  <c r="AX1031" i="1"/>
  <c r="AY1031" i="1"/>
  <c r="AW1032" i="1"/>
  <c r="AX1032" i="1"/>
  <c r="AY1032" i="1"/>
  <c r="AW1033" i="1"/>
  <c r="AX1033" i="1"/>
  <c r="AY1033" i="1"/>
  <c r="AW1034" i="1"/>
  <c r="AX1034" i="1"/>
  <c r="AY1034" i="1"/>
  <c r="AW1035" i="1"/>
  <c r="AX1035" i="1"/>
  <c r="AY1035" i="1"/>
  <c r="AW1036" i="1"/>
  <c r="AX1036" i="1"/>
  <c r="AY1036" i="1"/>
  <c r="AW1037" i="1"/>
  <c r="AX1037" i="1"/>
  <c r="AY1037" i="1"/>
  <c r="AW1038" i="1"/>
  <c r="AX1038" i="1"/>
  <c r="AY1038" i="1"/>
  <c r="AW1039" i="1"/>
  <c r="AX1039" i="1"/>
  <c r="AY1039" i="1"/>
  <c r="AW1040" i="1"/>
  <c r="AX1040" i="1"/>
  <c r="AY1040" i="1"/>
  <c r="AW1041" i="1"/>
  <c r="AX1041" i="1"/>
  <c r="AY1041" i="1"/>
  <c r="AW1042" i="1"/>
  <c r="AX1042" i="1"/>
  <c r="AY1042" i="1"/>
  <c r="AW1043" i="1"/>
  <c r="AX1043" i="1"/>
  <c r="AY1043" i="1"/>
  <c r="AW1044" i="1"/>
  <c r="AX1044" i="1"/>
  <c r="AY1044" i="1"/>
  <c r="AW1045" i="1"/>
  <c r="AX1045" i="1"/>
  <c r="AY1045" i="1"/>
  <c r="AW1046" i="1"/>
  <c r="AX1046" i="1"/>
  <c r="AY1046" i="1"/>
  <c r="AW1047" i="1"/>
  <c r="AX1047" i="1"/>
  <c r="AY1047" i="1"/>
  <c r="AW1048" i="1"/>
  <c r="AX1048" i="1"/>
  <c r="AY1048" i="1"/>
  <c r="AW1049" i="1"/>
  <c r="AX1049" i="1"/>
  <c r="AY1049" i="1"/>
  <c r="AW1050" i="1"/>
  <c r="AX1050" i="1"/>
  <c r="AY1050" i="1"/>
  <c r="AW1051" i="1"/>
  <c r="AX1051" i="1"/>
  <c r="AY1051" i="1"/>
  <c r="AW1052" i="1"/>
  <c r="AX1052" i="1"/>
  <c r="AY1052" i="1"/>
  <c r="AW1053" i="1"/>
  <c r="AX1053" i="1"/>
  <c r="AY1053" i="1"/>
  <c r="AW1054" i="1"/>
  <c r="AX1054" i="1"/>
  <c r="AY1054" i="1"/>
  <c r="AW1055" i="1"/>
  <c r="AX1055" i="1"/>
  <c r="AY1055" i="1"/>
  <c r="AW1056" i="1"/>
  <c r="AX1056" i="1"/>
  <c r="AY1056" i="1"/>
  <c r="AW1057" i="1"/>
  <c r="AX1057" i="1"/>
  <c r="AY1057" i="1"/>
  <c r="AW1058" i="1"/>
  <c r="AX1058" i="1"/>
  <c r="AY1058" i="1"/>
  <c r="AW1059" i="1"/>
  <c r="AX1059" i="1"/>
  <c r="AY1059" i="1"/>
  <c r="AW1060" i="1"/>
  <c r="AX1060" i="1"/>
  <c r="AY1060" i="1"/>
  <c r="AW1061" i="1"/>
  <c r="AX1061" i="1"/>
  <c r="AY1061" i="1"/>
  <c r="AW1062" i="1"/>
  <c r="AX1062" i="1"/>
  <c r="AY1062" i="1"/>
  <c r="AW1063" i="1"/>
  <c r="AX1063" i="1"/>
  <c r="AY1063" i="1"/>
  <c r="AW1064" i="1"/>
  <c r="AX1064" i="1"/>
  <c r="AY1064" i="1"/>
  <c r="AW1065" i="1"/>
  <c r="AX1065" i="1"/>
  <c r="AY1065" i="1"/>
  <c r="AW1066" i="1"/>
  <c r="AX1066" i="1"/>
  <c r="AY1066" i="1"/>
  <c r="AW1067" i="1"/>
  <c r="AX1067" i="1"/>
  <c r="AY1067" i="1"/>
  <c r="AW1068" i="1"/>
  <c r="AX1068" i="1"/>
  <c r="AY1068" i="1"/>
  <c r="AW1069" i="1"/>
  <c r="AX1069" i="1"/>
  <c r="AY1069" i="1"/>
  <c r="AW1070" i="1"/>
  <c r="AX1070" i="1"/>
  <c r="AY1070" i="1"/>
  <c r="AW1071" i="1"/>
  <c r="AX1071" i="1"/>
  <c r="AY1071" i="1"/>
  <c r="AW1072" i="1"/>
  <c r="AX1072" i="1"/>
  <c r="AY1072" i="1"/>
  <c r="AW1073" i="1"/>
  <c r="AX1073" i="1"/>
  <c r="AY1073" i="1"/>
  <c r="AW1074" i="1"/>
  <c r="AX1074" i="1"/>
  <c r="AY1074" i="1"/>
  <c r="AW1075" i="1"/>
  <c r="AX1075" i="1"/>
  <c r="AY1075" i="1"/>
  <c r="AW1076" i="1"/>
  <c r="AX1076" i="1"/>
  <c r="AY1076" i="1"/>
  <c r="AW1077" i="1"/>
  <c r="AX1077" i="1"/>
  <c r="AY1077" i="1"/>
  <c r="AW1078" i="1"/>
  <c r="AX1078" i="1"/>
  <c r="AY1078" i="1"/>
  <c r="AW1079" i="1"/>
  <c r="AX1079" i="1"/>
  <c r="AY1079" i="1"/>
  <c r="AW1080" i="1"/>
  <c r="AX1080" i="1"/>
  <c r="AY1080" i="1"/>
  <c r="AW1081" i="1"/>
  <c r="AX1081" i="1"/>
  <c r="AY1081" i="1"/>
  <c r="AW1082" i="1"/>
  <c r="AX1082" i="1"/>
  <c r="AY1082" i="1"/>
  <c r="AW1083" i="1"/>
  <c r="AX1083" i="1"/>
  <c r="AY1083" i="1"/>
  <c r="AW1084" i="1"/>
  <c r="AX1084" i="1"/>
  <c r="AY1084" i="1"/>
  <c r="AW1085" i="1"/>
  <c r="AX1085" i="1"/>
  <c r="AY1085" i="1"/>
  <c r="AW1086" i="1"/>
  <c r="AX1086" i="1"/>
  <c r="AY1086" i="1"/>
  <c r="AW1087" i="1"/>
  <c r="AX1087" i="1"/>
  <c r="AY1087" i="1"/>
  <c r="AW1088" i="1"/>
  <c r="AX1088" i="1"/>
  <c r="AY1088" i="1"/>
  <c r="AW1089" i="1"/>
  <c r="AX1089" i="1"/>
  <c r="AY1089" i="1"/>
  <c r="AW1090" i="1"/>
  <c r="AX1090" i="1"/>
  <c r="AY1090" i="1"/>
  <c r="AW1091" i="1"/>
  <c r="AX1091" i="1"/>
  <c r="AY1091" i="1"/>
  <c r="AW1092" i="1"/>
  <c r="AX1092" i="1"/>
  <c r="AY1092" i="1"/>
  <c r="AW1093" i="1"/>
  <c r="AX1093" i="1"/>
  <c r="AY1093" i="1"/>
  <c r="AW1094" i="1"/>
  <c r="AX1094" i="1"/>
  <c r="AY1094" i="1"/>
  <c r="AW1095" i="1"/>
  <c r="AX1095" i="1"/>
  <c r="AY1095" i="1"/>
  <c r="AW1096" i="1"/>
  <c r="AX1096" i="1"/>
  <c r="AY1096" i="1"/>
  <c r="AW1097" i="1"/>
  <c r="AX1097" i="1"/>
  <c r="AY1097" i="1"/>
  <c r="AW1098" i="1"/>
  <c r="AX1098" i="1"/>
  <c r="AY1098" i="1"/>
  <c r="AW1099" i="1"/>
  <c r="AX1099" i="1"/>
  <c r="AY1099" i="1"/>
  <c r="AW1100" i="1"/>
  <c r="AX1100" i="1"/>
  <c r="AY1100" i="1"/>
  <c r="AW1101" i="1"/>
  <c r="AX1101" i="1"/>
  <c r="AY1101" i="1"/>
  <c r="AW1102" i="1"/>
  <c r="AX1102" i="1"/>
  <c r="AY1102" i="1"/>
  <c r="AW1103" i="1"/>
  <c r="AX1103" i="1"/>
  <c r="AY1103" i="1"/>
  <c r="AW1104" i="1"/>
  <c r="AX1104" i="1"/>
  <c r="AY1104" i="1"/>
  <c r="AW1105" i="1"/>
  <c r="AX1105" i="1"/>
  <c r="AY1105" i="1"/>
  <c r="AW1106" i="1"/>
  <c r="AX1106" i="1"/>
  <c r="AY1106" i="1"/>
  <c r="AW1107" i="1"/>
  <c r="AX1107" i="1"/>
  <c r="AY1107" i="1"/>
  <c r="AW1108" i="1"/>
  <c r="AX1108" i="1"/>
  <c r="AY1108" i="1"/>
  <c r="AW1109" i="1"/>
  <c r="AX1109" i="1"/>
  <c r="AY1109" i="1"/>
  <c r="AW1110" i="1"/>
  <c r="AX1110" i="1"/>
  <c r="AY1110" i="1"/>
  <c r="AW1111" i="1"/>
  <c r="AX1111" i="1"/>
  <c r="AY1111" i="1"/>
  <c r="AW1112" i="1"/>
  <c r="AX1112" i="1"/>
  <c r="AY1112" i="1"/>
  <c r="AW1113" i="1"/>
  <c r="AX1113" i="1"/>
  <c r="AY1113" i="1"/>
  <c r="AW1114" i="1"/>
  <c r="AX1114" i="1"/>
  <c r="AY1114" i="1"/>
  <c r="AW1115" i="1"/>
  <c r="AX1115" i="1"/>
  <c r="AY1115" i="1"/>
  <c r="AW1116" i="1"/>
  <c r="AX1116" i="1"/>
  <c r="AY1116" i="1"/>
  <c r="AW1117" i="1"/>
  <c r="AX1117" i="1"/>
  <c r="AY1117" i="1"/>
  <c r="AW1118" i="1"/>
  <c r="AX1118" i="1"/>
  <c r="AY1118" i="1"/>
  <c r="AW1119" i="1"/>
  <c r="AX1119" i="1"/>
  <c r="AY1119" i="1"/>
  <c r="AW1120" i="1"/>
  <c r="AX1120" i="1"/>
  <c r="AY1120" i="1"/>
  <c r="AW1121" i="1"/>
  <c r="AX1121" i="1"/>
  <c r="AY1121" i="1"/>
  <c r="AW1122" i="1"/>
  <c r="AX1122" i="1"/>
  <c r="AY1122" i="1"/>
  <c r="AW1123" i="1"/>
  <c r="AX1123" i="1"/>
  <c r="AY1123" i="1"/>
  <c r="AW1124" i="1"/>
  <c r="AX1124" i="1"/>
  <c r="AY1124" i="1"/>
  <c r="AW1125" i="1"/>
  <c r="AX1125" i="1"/>
  <c r="AY1125" i="1"/>
  <c r="AW1126" i="1"/>
  <c r="AX1126" i="1"/>
  <c r="AY1126" i="1"/>
  <c r="AW1127" i="1"/>
  <c r="AX1127" i="1"/>
  <c r="AY1127" i="1"/>
  <c r="AW1128" i="1"/>
  <c r="AX1128" i="1"/>
  <c r="AY1128" i="1"/>
  <c r="AW1129" i="1"/>
  <c r="AX1129" i="1"/>
  <c r="AY1129" i="1"/>
  <c r="AW1130" i="1"/>
  <c r="AX1130" i="1"/>
  <c r="AY1130" i="1"/>
  <c r="AW1131" i="1"/>
  <c r="AX1131" i="1"/>
  <c r="AY1131" i="1"/>
  <c r="AW1132" i="1"/>
  <c r="AX1132" i="1"/>
  <c r="AY1132" i="1"/>
  <c r="AW1133" i="1"/>
  <c r="AX1133" i="1"/>
  <c r="AY1133" i="1"/>
  <c r="AW1134" i="1"/>
  <c r="AX1134" i="1"/>
  <c r="AY1134" i="1"/>
  <c r="AW1135" i="1"/>
  <c r="AX1135" i="1"/>
  <c r="AY1135" i="1"/>
  <c r="AW1136" i="1"/>
  <c r="AX1136" i="1"/>
  <c r="AY1136" i="1"/>
  <c r="AW1137" i="1"/>
  <c r="AX1137" i="1"/>
  <c r="AY1137" i="1"/>
  <c r="AW1138" i="1"/>
  <c r="AX1138" i="1"/>
  <c r="AY1138" i="1"/>
  <c r="AW1139" i="1"/>
  <c r="AX1139" i="1"/>
  <c r="AY1139" i="1"/>
  <c r="AW1140" i="1"/>
  <c r="AX1140" i="1"/>
  <c r="AY1140" i="1"/>
  <c r="AW1141" i="1"/>
  <c r="AX1141" i="1"/>
  <c r="AY1141" i="1"/>
  <c r="AW1142" i="1"/>
  <c r="AX1142" i="1"/>
  <c r="AY1142" i="1"/>
  <c r="AW1143" i="1"/>
  <c r="AX1143" i="1"/>
  <c r="AY1143" i="1"/>
  <c r="AW1144" i="1"/>
  <c r="AX1144" i="1"/>
  <c r="AY1144" i="1"/>
  <c r="AW1145" i="1"/>
  <c r="AX1145" i="1"/>
  <c r="AY1145" i="1"/>
  <c r="AW1146" i="1"/>
  <c r="AX1146" i="1"/>
  <c r="AY1146" i="1"/>
  <c r="AW1147" i="1"/>
  <c r="AX1147" i="1"/>
  <c r="AY1147" i="1"/>
  <c r="AW1148" i="1"/>
  <c r="AX1148" i="1"/>
  <c r="AY1148" i="1"/>
  <c r="AW1149" i="1"/>
  <c r="AX1149" i="1"/>
  <c r="AY1149" i="1"/>
  <c r="AW1150" i="1"/>
  <c r="AX1150" i="1"/>
  <c r="AY1150" i="1"/>
  <c r="AW1151" i="1"/>
  <c r="AX1151" i="1"/>
  <c r="AY1151" i="1"/>
  <c r="AW1152" i="1"/>
  <c r="AX1152" i="1"/>
  <c r="AY1152" i="1"/>
  <c r="AW1153" i="1"/>
  <c r="AX1153" i="1"/>
  <c r="AY1153" i="1"/>
  <c r="AW1154" i="1"/>
  <c r="AX1154" i="1"/>
  <c r="AY1154" i="1"/>
  <c r="AW1155" i="1"/>
  <c r="AX1155" i="1"/>
  <c r="AY1155" i="1"/>
  <c r="AW1156" i="1"/>
  <c r="AX1156" i="1"/>
  <c r="AY1156" i="1"/>
  <c r="AW1157" i="1"/>
  <c r="AX1157" i="1"/>
  <c r="AY1157" i="1"/>
  <c r="AW1158" i="1"/>
  <c r="AX1158" i="1"/>
  <c r="AY1158" i="1"/>
  <c r="AW1159" i="1"/>
  <c r="AX1159" i="1"/>
  <c r="AY1159" i="1"/>
  <c r="AW1160" i="1"/>
  <c r="AX1160" i="1"/>
  <c r="AY1160" i="1"/>
  <c r="AW1161" i="1"/>
  <c r="AX1161" i="1"/>
  <c r="AY1161" i="1"/>
  <c r="AW1162" i="1"/>
  <c r="AX1162" i="1"/>
  <c r="AY1162" i="1"/>
  <c r="AW1163" i="1"/>
  <c r="AX1163" i="1"/>
  <c r="AY1163" i="1"/>
  <c r="AW1164" i="1"/>
  <c r="AX1164" i="1"/>
  <c r="AY1164" i="1"/>
  <c r="AW1165" i="1"/>
  <c r="AX1165" i="1"/>
  <c r="AY1165" i="1"/>
  <c r="AW1166" i="1"/>
  <c r="AX1166" i="1"/>
  <c r="AY1166" i="1"/>
  <c r="AW1167" i="1"/>
  <c r="AX1167" i="1"/>
  <c r="AY1167" i="1"/>
  <c r="AW1168" i="1"/>
  <c r="AX1168" i="1"/>
  <c r="AY1168" i="1"/>
  <c r="AW1169" i="1"/>
  <c r="AX1169" i="1"/>
  <c r="AY1169" i="1"/>
  <c r="AW1170" i="1"/>
  <c r="AX1170" i="1"/>
  <c r="AY1170" i="1"/>
  <c r="AW1171" i="1"/>
  <c r="AX1171" i="1"/>
  <c r="AY1171" i="1"/>
  <c r="AW1172" i="1"/>
  <c r="AX1172" i="1"/>
  <c r="AY1172" i="1"/>
  <c r="AW1173" i="1"/>
  <c r="AX1173" i="1"/>
  <c r="AY1173" i="1"/>
  <c r="AW1174" i="1"/>
  <c r="AX1174" i="1"/>
  <c r="AY1174" i="1"/>
  <c r="AW1175" i="1"/>
  <c r="AX1175" i="1"/>
  <c r="AY1175" i="1"/>
  <c r="AW1176" i="1"/>
  <c r="AX1176" i="1"/>
  <c r="AY1176" i="1"/>
  <c r="AW1177" i="1"/>
  <c r="AX1177" i="1"/>
  <c r="AY1177" i="1"/>
  <c r="AW1178" i="1"/>
  <c r="AX1178" i="1"/>
  <c r="AY1178" i="1"/>
  <c r="AW1179" i="1"/>
  <c r="AX1179" i="1"/>
  <c r="AY1179" i="1"/>
  <c r="AW1180" i="1"/>
  <c r="AX1180" i="1"/>
  <c r="AY1180" i="1"/>
  <c r="AW1181" i="1"/>
  <c r="AX1181" i="1"/>
  <c r="AY1181" i="1"/>
  <c r="AW1182" i="1"/>
  <c r="AX1182" i="1"/>
  <c r="AY1182" i="1"/>
  <c r="AW1183" i="1"/>
  <c r="AX1183" i="1"/>
  <c r="AY1183" i="1"/>
  <c r="AW1184" i="1"/>
  <c r="AX1184" i="1"/>
  <c r="AY1184" i="1"/>
  <c r="AW1185" i="1"/>
  <c r="AX1185" i="1"/>
  <c r="AY1185" i="1"/>
  <c r="AW1186" i="1"/>
  <c r="AX1186" i="1"/>
  <c r="AY1186" i="1"/>
  <c r="AW1187" i="1"/>
  <c r="AX1187" i="1"/>
  <c r="AY1187" i="1"/>
  <c r="AW1188" i="1"/>
  <c r="AX1188" i="1"/>
  <c r="AY1188" i="1"/>
  <c r="AW1189" i="1"/>
  <c r="AX1189" i="1"/>
  <c r="AY1189" i="1"/>
  <c r="AW1190" i="1"/>
  <c r="AX1190" i="1"/>
  <c r="AY1190" i="1"/>
  <c r="AW1191" i="1"/>
  <c r="AX1191" i="1"/>
  <c r="AY1191" i="1"/>
  <c r="AW1192" i="1"/>
  <c r="AX1192" i="1"/>
  <c r="AY1192" i="1"/>
  <c r="AW1193" i="1"/>
  <c r="AX1193" i="1"/>
  <c r="AY1193" i="1"/>
  <c r="AW1194" i="1"/>
  <c r="AX1194" i="1"/>
  <c r="AY1194" i="1"/>
  <c r="AW1195" i="1"/>
  <c r="AX1195" i="1"/>
  <c r="AY1195" i="1"/>
  <c r="AW1196" i="1"/>
  <c r="AX1196" i="1"/>
  <c r="AY1196" i="1"/>
  <c r="AW1197" i="1"/>
  <c r="AX1197" i="1"/>
  <c r="AY1197" i="1"/>
  <c r="AW1198" i="1"/>
  <c r="AX1198" i="1"/>
  <c r="AY1198" i="1"/>
  <c r="AW1199" i="1"/>
  <c r="AX1199" i="1"/>
  <c r="AY1199" i="1"/>
  <c r="AW1200" i="1"/>
  <c r="AX1200" i="1"/>
  <c r="AY1200" i="1"/>
  <c r="AW1201" i="1"/>
  <c r="AX1201" i="1"/>
  <c r="AY1201" i="1"/>
  <c r="AW1202" i="1"/>
  <c r="AX1202" i="1"/>
  <c r="AY1202" i="1"/>
  <c r="AW1203" i="1"/>
  <c r="AX1203" i="1"/>
  <c r="AY1203" i="1"/>
  <c r="AW1204" i="1"/>
  <c r="AX1204" i="1"/>
  <c r="AY1204" i="1"/>
  <c r="AW1205" i="1"/>
  <c r="AX1205" i="1"/>
  <c r="AY1205" i="1"/>
  <c r="AW1206" i="1"/>
  <c r="AX1206" i="1"/>
  <c r="AY1206" i="1"/>
  <c r="AW1207" i="1"/>
  <c r="AX1207" i="1"/>
  <c r="AY1207" i="1"/>
  <c r="AW1208" i="1"/>
  <c r="AX1208" i="1"/>
  <c r="AY1208" i="1"/>
  <c r="AW1209" i="1"/>
  <c r="AX1209" i="1"/>
  <c r="AY1209" i="1"/>
  <c r="AW1210" i="1"/>
  <c r="AX1210" i="1"/>
  <c r="AY1210" i="1"/>
  <c r="AW1211" i="1"/>
  <c r="AX1211" i="1"/>
  <c r="AY1211" i="1"/>
  <c r="AW1212" i="1"/>
  <c r="AX1212" i="1"/>
  <c r="AY1212" i="1"/>
  <c r="AW1213" i="1"/>
  <c r="AX1213" i="1"/>
  <c r="AY1213" i="1"/>
  <c r="AW1214" i="1"/>
  <c r="AX1214" i="1"/>
  <c r="AY1214" i="1"/>
  <c r="AW1215" i="1"/>
  <c r="AX1215" i="1"/>
  <c r="AY1215" i="1"/>
  <c r="AW1216" i="1"/>
  <c r="AX1216" i="1"/>
  <c r="AY1216" i="1"/>
  <c r="AW1217" i="1"/>
  <c r="AX1217" i="1"/>
  <c r="AY1217" i="1"/>
  <c r="AW1218" i="1"/>
  <c r="AX1218" i="1"/>
  <c r="AY1218" i="1"/>
  <c r="AW1219" i="1"/>
  <c r="AX1219" i="1"/>
  <c r="AY1219" i="1"/>
  <c r="AW1220" i="1"/>
  <c r="AX1220" i="1"/>
  <c r="AY1220" i="1"/>
  <c r="AW1221" i="1"/>
  <c r="AX1221" i="1"/>
  <c r="AY1221" i="1"/>
  <c r="AW1222" i="1"/>
  <c r="AX1222" i="1"/>
  <c r="AY1222" i="1"/>
  <c r="AW1223" i="1"/>
  <c r="AX1223" i="1"/>
  <c r="AY1223" i="1"/>
  <c r="AW1224" i="1"/>
  <c r="AX1224" i="1"/>
  <c r="AY1224" i="1"/>
  <c r="AW1225" i="1"/>
  <c r="AX1225" i="1"/>
  <c r="AY1225" i="1"/>
  <c r="AW1226" i="1"/>
  <c r="AX1226" i="1"/>
  <c r="AY1226" i="1"/>
  <c r="AW1227" i="1"/>
  <c r="AX1227" i="1"/>
  <c r="AY1227" i="1"/>
  <c r="AW1228" i="1"/>
  <c r="AX1228" i="1"/>
  <c r="AY1228" i="1"/>
  <c r="AW1229" i="1"/>
  <c r="AX1229" i="1"/>
  <c r="AY1229" i="1"/>
  <c r="AW1230" i="1"/>
  <c r="AX1230" i="1"/>
  <c r="AY1230" i="1"/>
  <c r="AW1231" i="1"/>
  <c r="AX1231" i="1"/>
  <c r="AY1231" i="1"/>
  <c r="AW1232" i="1"/>
  <c r="AX1232" i="1"/>
  <c r="AY1232" i="1"/>
  <c r="AW1233" i="1"/>
  <c r="AX1233" i="1"/>
  <c r="AY1233" i="1"/>
  <c r="AW1234" i="1"/>
  <c r="AX1234" i="1"/>
  <c r="AY1234" i="1"/>
  <c r="AW1235" i="1"/>
  <c r="AX1235" i="1"/>
  <c r="AY1235" i="1"/>
  <c r="AW1236" i="1"/>
  <c r="AX1236" i="1"/>
  <c r="AY1236" i="1"/>
  <c r="AW1237" i="1"/>
  <c r="AX1237" i="1"/>
  <c r="AY1237" i="1"/>
  <c r="AW1238" i="1"/>
  <c r="AX1238" i="1"/>
  <c r="AY1238" i="1"/>
  <c r="AW1239" i="1"/>
  <c r="AX1239" i="1"/>
  <c r="AY1239" i="1"/>
  <c r="AW1240" i="1"/>
  <c r="AX1240" i="1"/>
  <c r="AY1240" i="1"/>
  <c r="AW1241" i="1"/>
  <c r="AX1241" i="1"/>
  <c r="AY1241" i="1"/>
  <c r="AW1242" i="1"/>
  <c r="AX1242" i="1"/>
  <c r="AY1242" i="1"/>
  <c r="AW1243" i="1"/>
  <c r="AX1243" i="1"/>
  <c r="AY1243" i="1"/>
  <c r="AW1244" i="1"/>
  <c r="AX1244" i="1"/>
  <c r="AY1244" i="1"/>
  <c r="AW1245" i="1"/>
  <c r="AX1245" i="1"/>
  <c r="AY1245" i="1"/>
  <c r="AW1246" i="1"/>
  <c r="AX1246" i="1"/>
  <c r="AY1246" i="1"/>
  <c r="AW1247" i="1"/>
  <c r="AX1247" i="1"/>
  <c r="AY1247" i="1"/>
  <c r="AW1248" i="1"/>
  <c r="AX1248" i="1"/>
  <c r="AY1248" i="1"/>
  <c r="AW1249" i="1"/>
  <c r="AX1249" i="1"/>
  <c r="AY1249" i="1"/>
  <c r="AW1250" i="1"/>
  <c r="AX1250" i="1"/>
  <c r="AY1250" i="1"/>
  <c r="AW1251" i="1"/>
  <c r="AX1251" i="1"/>
  <c r="AY1251" i="1"/>
  <c r="AW1252" i="1"/>
  <c r="AX1252" i="1"/>
  <c r="AY1252" i="1"/>
  <c r="AW1253" i="1"/>
  <c r="AX1253" i="1"/>
  <c r="AY1253" i="1"/>
  <c r="AW1254" i="1"/>
  <c r="AX1254" i="1"/>
  <c r="AY1254" i="1"/>
  <c r="AW1255" i="1"/>
  <c r="AX1255" i="1"/>
  <c r="AY1255" i="1"/>
  <c r="AW1256" i="1"/>
  <c r="AX1256" i="1"/>
  <c r="AY1256" i="1"/>
  <c r="AW1257" i="1"/>
  <c r="AX1257" i="1"/>
  <c r="AY1257" i="1"/>
  <c r="AW1258" i="1"/>
  <c r="AX1258" i="1"/>
  <c r="AY1258" i="1"/>
  <c r="AW1259" i="1"/>
  <c r="AX1259" i="1"/>
  <c r="AY1259" i="1"/>
  <c r="AW1260" i="1"/>
  <c r="AX1260" i="1"/>
  <c r="AY1260" i="1"/>
  <c r="AW1261" i="1"/>
  <c r="AX1261" i="1"/>
  <c r="AY1261" i="1"/>
  <c r="AW1262" i="1"/>
  <c r="AX1262" i="1"/>
  <c r="AY1262" i="1"/>
  <c r="AW1263" i="1"/>
  <c r="AX1263" i="1"/>
  <c r="AY1263" i="1"/>
  <c r="AW1264" i="1"/>
  <c r="AX1264" i="1"/>
  <c r="AY1264" i="1"/>
  <c r="AW1265" i="1"/>
  <c r="AX1265" i="1"/>
  <c r="AY1265" i="1"/>
  <c r="AW1266" i="1"/>
  <c r="AX1266" i="1"/>
  <c r="AY1266" i="1"/>
  <c r="AW1267" i="1"/>
  <c r="AX1267" i="1"/>
  <c r="AY1267" i="1"/>
  <c r="AW1268" i="1"/>
  <c r="AX1268" i="1"/>
  <c r="AY1268" i="1"/>
  <c r="AW1269" i="1"/>
  <c r="AX1269" i="1"/>
  <c r="AY1269" i="1"/>
  <c r="AW1271" i="1"/>
  <c r="AX1271" i="1"/>
  <c r="AY1271" i="1"/>
  <c r="AW1272" i="1"/>
  <c r="AX1272" i="1"/>
  <c r="AY1272" i="1"/>
  <c r="AW1273" i="1"/>
  <c r="AX1273" i="1"/>
  <c r="AY1273" i="1"/>
  <c r="AW1274" i="1"/>
  <c r="AX1274" i="1"/>
  <c r="AY1274" i="1"/>
  <c r="AW1275" i="1"/>
  <c r="AX1275" i="1"/>
  <c r="AY1275" i="1"/>
  <c r="AW1276" i="1"/>
  <c r="AX1276" i="1"/>
  <c r="AY1276" i="1"/>
  <c r="AW1277" i="1"/>
  <c r="AX1277" i="1"/>
  <c r="AY1277" i="1"/>
  <c r="AW1278" i="1"/>
  <c r="AX1278" i="1"/>
  <c r="AY1278" i="1"/>
  <c r="AW1279" i="1"/>
  <c r="AX1279" i="1"/>
  <c r="AY1279" i="1"/>
  <c r="AW1280" i="1"/>
  <c r="AX1280" i="1"/>
  <c r="AY1280" i="1"/>
  <c r="AW1281" i="1"/>
  <c r="AX1281" i="1"/>
  <c r="AY1281" i="1"/>
  <c r="AW1282" i="1"/>
  <c r="AX1282" i="1"/>
  <c r="AY1282" i="1"/>
  <c r="AW1283" i="1"/>
  <c r="AX1283" i="1"/>
  <c r="AY1283" i="1"/>
  <c r="AW1284" i="1"/>
  <c r="AX1284" i="1"/>
  <c r="AY1284" i="1"/>
  <c r="AW1285" i="1"/>
  <c r="AX1285" i="1"/>
  <c r="AY1285" i="1"/>
  <c r="AW1286" i="1"/>
  <c r="AX1286" i="1"/>
  <c r="AY1286" i="1"/>
  <c r="AW1287" i="1"/>
  <c r="AX1287" i="1"/>
  <c r="AY1287" i="1"/>
  <c r="AW1288" i="1"/>
  <c r="AX1288" i="1"/>
  <c r="AY1288" i="1"/>
  <c r="AW1289" i="1"/>
  <c r="AX1289" i="1"/>
  <c r="AY1289" i="1"/>
  <c r="AW1290" i="1"/>
  <c r="AX1290" i="1"/>
  <c r="AY1290" i="1"/>
  <c r="AW1291" i="1"/>
  <c r="AX1291" i="1"/>
  <c r="AY1291" i="1"/>
  <c r="AW1292" i="1"/>
  <c r="AX1292" i="1"/>
  <c r="AY1292" i="1"/>
  <c r="AW1293" i="1"/>
  <c r="AX1293" i="1"/>
  <c r="AY1293" i="1"/>
  <c r="AW1294" i="1"/>
  <c r="AX1294" i="1"/>
  <c r="AY1294" i="1"/>
  <c r="AW1295" i="1"/>
  <c r="AX1295" i="1"/>
  <c r="AY1295" i="1"/>
  <c r="AW1296" i="1"/>
  <c r="AX1296" i="1"/>
  <c r="AY1296" i="1"/>
  <c r="AW1297" i="1"/>
  <c r="AX1297" i="1"/>
  <c r="AY1297" i="1"/>
  <c r="AW1298" i="1"/>
  <c r="AX1298" i="1"/>
  <c r="AY1298" i="1"/>
  <c r="AW1299" i="1"/>
  <c r="AX1299" i="1"/>
  <c r="AY1299" i="1"/>
  <c r="AW1300" i="1"/>
  <c r="AX1300" i="1"/>
  <c r="AY1300" i="1"/>
  <c r="AW1301" i="1"/>
  <c r="AX1301" i="1"/>
  <c r="AY1301" i="1"/>
  <c r="AW1302" i="1"/>
  <c r="AX1302" i="1"/>
  <c r="AY1302" i="1"/>
  <c r="AW1303" i="1"/>
  <c r="AX1303" i="1"/>
  <c r="AY1303" i="1"/>
  <c r="AW1304" i="1"/>
  <c r="AX1304" i="1"/>
  <c r="AY1304" i="1"/>
  <c r="AW1305" i="1"/>
  <c r="AX1305" i="1"/>
  <c r="AY1305" i="1"/>
  <c r="AW1306" i="1"/>
  <c r="AX1306" i="1"/>
  <c r="AY1306" i="1"/>
  <c r="AW1307" i="1"/>
  <c r="AX1307" i="1"/>
  <c r="AY1307" i="1"/>
  <c r="AW1308" i="1"/>
  <c r="AX1308" i="1"/>
  <c r="AY1308" i="1"/>
  <c r="AW1309" i="1"/>
  <c r="AX1309" i="1"/>
  <c r="AY1309" i="1"/>
  <c r="AW1310" i="1"/>
  <c r="AX1310" i="1"/>
  <c r="AY1310" i="1"/>
  <c r="AW1311" i="1"/>
  <c r="AX1311" i="1"/>
  <c r="AY1311" i="1"/>
  <c r="AW1312" i="1"/>
  <c r="AX1312" i="1"/>
  <c r="AY1312" i="1"/>
  <c r="AW1313" i="1"/>
  <c r="AX1313" i="1"/>
  <c r="AY1313" i="1"/>
  <c r="AW1314" i="1"/>
  <c r="AX1314" i="1"/>
  <c r="AY1314" i="1"/>
  <c r="AW1315" i="1"/>
  <c r="AX1315" i="1"/>
  <c r="AY1315" i="1"/>
  <c r="AW1316" i="1"/>
  <c r="AX1316" i="1"/>
  <c r="AY1316" i="1"/>
  <c r="AW1317" i="1"/>
  <c r="AX1317" i="1"/>
  <c r="AY1317" i="1"/>
  <c r="AW1318" i="1"/>
  <c r="AX1318" i="1"/>
  <c r="AY1318" i="1"/>
  <c r="AW1319" i="1"/>
  <c r="AX1319" i="1"/>
  <c r="AY1319" i="1"/>
  <c r="AW1320" i="1"/>
  <c r="AX1320" i="1"/>
  <c r="AY1320" i="1"/>
  <c r="AW1321" i="1"/>
  <c r="AX1321" i="1"/>
  <c r="AY1321" i="1"/>
  <c r="AW1322" i="1"/>
  <c r="AX1322" i="1"/>
  <c r="AY1322" i="1"/>
  <c r="AW1323" i="1"/>
  <c r="AX1323" i="1"/>
  <c r="AY1323" i="1"/>
  <c r="AW1324" i="1"/>
  <c r="AX1324" i="1"/>
  <c r="AY1324" i="1"/>
  <c r="AW1325" i="1"/>
  <c r="AX1325" i="1"/>
  <c r="AY1325" i="1"/>
  <c r="AW1326" i="1"/>
  <c r="AX1326" i="1"/>
  <c r="AY1326" i="1"/>
  <c r="AW1327" i="1"/>
  <c r="AX1327" i="1"/>
  <c r="AY1327" i="1"/>
  <c r="AW1328" i="1"/>
  <c r="AX1328" i="1"/>
  <c r="AY1328" i="1"/>
  <c r="AW1329" i="1"/>
  <c r="AX1329" i="1"/>
  <c r="AY1329" i="1"/>
  <c r="AW1330" i="1"/>
  <c r="AX1330" i="1"/>
  <c r="AY1330" i="1"/>
  <c r="AW1331" i="1"/>
  <c r="AX1331" i="1"/>
  <c r="AY1331" i="1"/>
  <c r="AW1332" i="1"/>
  <c r="AX1332" i="1"/>
  <c r="AY1332" i="1"/>
  <c r="AW1333" i="1"/>
  <c r="AX1333" i="1"/>
  <c r="AY1333" i="1"/>
  <c r="AW1334" i="1"/>
  <c r="AX1334" i="1"/>
  <c r="AY1334" i="1"/>
  <c r="AW1335" i="1"/>
  <c r="AX1335" i="1"/>
  <c r="AY1335" i="1"/>
  <c r="AW1336" i="1"/>
  <c r="AX1336" i="1"/>
  <c r="AY1336" i="1"/>
  <c r="AW1337" i="1"/>
  <c r="AX1337" i="1"/>
  <c r="AY1337" i="1"/>
  <c r="AW1338" i="1"/>
  <c r="AX1338" i="1"/>
  <c r="AY1338" i="1"/>
  <c r="AW1339" i="1"/>
  <c r="AX1339" i="1"/>
  <c r="AY1339" i="1"/>
  <c r="AW1340" i="1"/>
  <c r="AX1340" i="1"/>
  <c r="AY1340" i="1"/>
  <c r="AW1341" i="1"/>
  <c r="AX1341" i="1"/>
  <c r="AY1341" i="1"/>
  <c r="AW1342" i="1"/>
  <c r="AX1342" i="1"/>
  <c r="AY1342" i="1"/>
  <c r="AW1343" i="1"/>
  <c r="AX1343" i="1"/>
  <c r="AY1343" i="1"/>
  <c r="AW1344" i="1"/>
  <c r="AX1344" i="1"/>
  <c r="AY1344" i="1"/>
  <c r="AW1345" i="1"/>
  <c r="AX1345" i="1"/>
  <c r="AY1345" i="1"/>
  <c r="AW1346" i="1"/>
  <c r="AX1346" i="1"/>
  <c r="AY1346" i="1"/>
  <c r="AW1347" i="1"/>
  <c r="AX1347" i="1"/>
  <c r="AY1347" i="1"/>
  <c r="AW1348" i="1"/>
  <c r="AX1348" i="1"/>
  <c r="AY1348" i="1"/>
  <c r="AW1349" i="1"/>
  <c r="AX1349" i="1"/>
  <c r="AY1349" i="1"/>
  <c r="AW1350" i="1"/>
  <c r="AX1350" i="1"/>
  <c r="AY1350" i="1"/>
  <c r="AW1351" i="1"/>
  <c r="AX1351" i="1"/>
  <c r="AY1351" i="1"/>
  <c r="AW1352" i="1"/>
  <c r="AX1352" i="1"/>
  <c r="AY1352" i="1"/>
  <c r="AW1353" i="1"/>
  <c r="AX1353" i="1"/>
  <c r="AY1353" i="1"/>
  <c r="AW1354" i="1"/>
  <c r="AX1354" i="1"/>
  <c r="AY1354" i="1"/>
  <c r="AW1355" i="1"/>
  <c r="AX1355" i="1"/>
  <c r="AY1355" i="1"/>
  <c r="AW1356" i="1"/>
  <c r="AX1356" i="1"/>
  <c r="AY1356" i="1"/>
  <c r="AW1357" i="1"/>
  <c r="AX1357" i="1"/>
  <c r="AY1357" i="1"/>
  <c r="AW1358" i="1"/>
  <c r="AX1358" i="1"/>
  <c r="AY1358" i="1"/>
  <c r="AW1359" i="1"/>
  <c r="AX1359" i="1"/>
  <c r="AY1359" i="1"/>
  <c r="AW1360" i="1"/>
  <c r="AX1360" i="1"/>
  <c r="AY1360" i="1"/>
  <c r="AW1361" i="1"/>
  <c r="AX1361" i="1"/>
  <c r="AY1361" i="1"/>
  <c r="AW1362" i="1"/>
  <c r="AX1362" i="1"/>
  <c r="AY1362" i="1"/>
  <c r="AW1363" i="1"/>
  <c r="AX1363" i="1"/>
  <c r="AY1363" i="1"/>
  <c r="AW1364" i="1"/>
  <c r="AX1364" i="1"/>
  <c r="AY1364" i="1"/>
  <c r="AW1365" i="1"/>
  <c r="AX1365" i="1"/>
  <c r="AY1365" i="1"/>
  <c r="AW1366" i="1"/>
  <c r="AX1366" i="1"/>
  <c r="AY1366" i="1"/>
  <c r="AW1367" i="1"/>
  <c r="AX1367" i="1"/>
  <c r="AY1367" i="1"/>
  <c r="AW1368" i="1"/>
  <c r="AX1368" i="1"/>
  <c r="AY1368" i="1"/>
  <c r="AW1369" i="1"/>
  <c r="AX1369" i="1"/>
  <c r="AY1369" i="1"/>
  <c r="AW1370" i="1"/>
  <c r="AX1370" i="1"/>
  <c r="AY1370" i="1"/>
  <c r="AW1371" i="1"/>
  <c r="AX1371" i="1"/>
  <c r="AY1371" i="1"/>
  <c r="AW1372" i="1"/>
  <c r="AX1372" i="1"/>
  <c r="AY1372" i="1"/>
  <c r="AW1373" i="1"/>
  <c r="AX1373" i="1"/>
  <c r="AY1373" i="1"/>
  <c r="AW1374" i="1"/>
  <c r="AX1374" i="1"/>
  <c r="AY1374" i="1"/>
  <c r="AW1375" i="1"/>
  <c r="AX1375" i="1"/>
  <c r="AY1375" i="1"/>
  <c r="AW1376" i="1"/>
  <c r="AX1376" i="1"/>
  <c r="AY1376" i="1"/>
  <c r="AW1377" i="1"/>
  <c r="AX1377" i="1"/>
  <c r="AY1377" i="1"/>
  <c r="AW1378" i="1"/>
  <c r="AX1378" i="1"/>
  <c r="AY1378" i="1"/>
  <c r="AW1379" i="1"/>
  <c r="AX1379" i="1"/>
  <c r="AY1379" i="1"/>
  <c r="AW1380" i="1"/>
  <c r="AX1380" i="1"/>
  <c r="AY1380" i="1"/>
  <c r="AW1381" i="1"/>
  <c r="AX1381" i="1"/>
  <c r="AY1381" i="1"/>
  <c r="AW1382" i="1"/>
  <c r="AX1382" i="1"/>
  <c r="AY1382" i="1"/>
  <c r="AW1383" i="1"/>
  <c r="AX1383" i="1"/>
  <c r="AY1383" i="1"/>
  <c r="AW1384" i="1"/>
  <c r="AX1384" i="1"/>
  <c r="AY1384" i="1"/>
  <c r="AW1385" i="1"/>
  <c r="AX1385" i="1"/>
  <c r="AY1385" i="1"/>
  <c r="AW1386" i="1"/>
  <c r="AX1386" i="1"/>
  <c r="AY1386" i="1"/>
  <c r="AW1387" i="1"/>
  <c r="AX1387" i="1"/>
  <c r="AY1387" i="1"/>
  <c r="AW1388" i="1"/>
  <c r="AX1388" i="1"/>
  <c r="AY1388" i="1"/>
  <c r="AW1389" i="1"/>
  <c r="AX1389" i="1"/>
  <c r="AY1389" i="1"/>
  <c r="AW1390" i="1"/>
  <c r="AX1390" i="1"/>
  <c r="AY1390" i="1"/>
  <c r="AW1391" i="1"/>
  <c r="AX1391" i="1"/>
  <c r="AY1391" i="1"/>
  <c r="AW1392" i="1"/>
  <c r="AX1392" i="1"/>
  <c r="AY1392" i="1"/>
  <c r="AW1393" i="1"/>
  <c r="AX1393" i="1"/>
  <c r="AY1393" i="1"/>
  <c r="AW1394" i="1"/>
  <c r="AX1394" i="1"/>
  <c r="AY1394" i="1"/>
  <c r="AW1395" i="1"/>
  <c r="AX1395" i="1"/>
  <c r="AY1395" i="1"/>
  <c r="AW1396" i="1"/>
  <c r="AX1396" i="1"/>
  <c r="AY1396" i="1"/>
  <c r="AW1397" i="1"/>
  <c r="AX1397" i="1"/>
  <c r="AY1397" i="1"/>
  <c r="AW1398" i="1"/>
  <c r="AX1398" i="1"/>
  <c r="AY1398" i="1"/>
  <c r="AW1399" i="1"/>
  <c r="AX1399" i="1"/>
  <c r="AY1399" i="1"/>
  <c r="AW1400" i="1"/>
  <c r="AX1400" i="1"/>
  <c r="AY1400" i="1"/>
  <c r="AW1401" i="1"/>
  <c r="AX1401" i="1"/>
  <c r="AY1401" i="1"/>
  <c r="AW1402" i="1"/>
  <c r="AX1402" i="1"/>
  <c r="AY1402" i="1"/>
  <c r="AW1403" i="1"/>
  <c r="AX1403" i="1"/>
  <c r="AY1403" i="1"/>
  <c r="AW1404" i="1"/>
  <c r="AX1404" i="1"/>
  <c r="AY1404" i="1"/>
  <c r="AW1405" i="1"/>
  <c r="AX1405" i="1"/>
  <c r="AY1405" i="1"/>
  <c r="AW1406" i="1"/>
  <c r="AX1406" i="1"/>
  <c r="AY1406" i="1"/>
  <c r="AW1407" i="1"/>
  <c r="AX1407" i="1"/>
  <c r="AY1407" i="1"/>
  <c r="AW1408" i="1"/>
  <c r="AX1408" i="1"/>
  <c r="AY1408" i="1"/>
  <c r="AW1409" i="1"/>
  <c r="AX1409" i="1"/>
  <c r="AY1409" i="1"/>
  <c r="AW1410" i="1"/>
  <c r="AX1410" i="1"/>
  <c r="AY1410" i="1"/>
  <c r="AW1411" i="1"/>
  <c r="AX1411" i="1"/>
  <c r="AY1411" i="1"/>
  <c r="AW1412" i="1"/>
  <c r="AX1412" i="1"/>
  <c r="AY1412" i="1"/>
  <c r="AW1413" i="1"/>
  <c r="AX1413" i="1"/>
  <c r="AY1413" i="1"/>
  <c r="AW1414" i="1"/>
  <c r="AX1414" i="1"/>
  <c r="AY1414" i="1"/>
  <c r="AW1415" i="1"/>
  <c r="AX1415" i="1"/>
  <c r="AY1415" i="1"/>
  <c r="AW1416" i="1"/>
  <c r="AX1416" i="1"/>
  <c r="AY1416" i="1"/>
  <c r="AW1417" i="1"/>
  <c r="AX1417" i="1"/>
  <c r="AY1417" i="1"/>
  <c r="AW1418" i="1"/>
  <c r="AX1418" i="1"/>
  <c r="AY1418" i="1"/>
  <c r="AW1419" i="1"/>
  <c r="AX1419" i="1"/>
  <c r="AY1419" i="1"/>
  <c r="AW1420" i="1"/>
  <c r="AX1420" i="1"/>
  <c r="AY1420" i="1"/>
  <c r="AW1421" i="1"/>
  <c r="AX1421" i="1"/>
  <c r="AY1421" i="1"/>
  <c r="AW1422" i="1"/>
  <c r="AX1422" i="1"/>
  <c r="AY1422" i="1"/>
  <c r="AW1423" i="1"/>
  <c r="AX1423" i="1"/>
  <c r="AY1423" i="1"/>
  <c r="AW1424" i="1"/>
  <c r="AX1424" i="1"/>
  <c r="AY1424" i="1"/>
  <c r="AW1425" i="1"/>
  <c r="AX1425" i="1"/>
  <c r="AY1425" i="1"/>
  <c r="AW1426" i="1"/>
  <c r="AX1426" i="1"/>
  <c r="AY1426" i="1"/>
  <c r="AW1427" i="1"/>
  <c r="AX1427" i="1"/>
  <c r="AY1427" i="1"/>
  <c r="AW1428" i="1"/>
  <c r="AX1428" i="1"/>
  <c r="AY1428" i="1"/>
  <c r="AW1429" i="1"/>
  <c r="AX1429" i="1"/>
  <c r="AY1429" i="1"/>
  <c r="AW1430" i="1"/>
  <c r="AX1430" i="1"/>
  <c r="AY1430" i="1"/>
  <c r="AW1431" i="1"/>
  <c r="AX1431" i="1"/>
  <c r="AY1431" i="1"/>
  <c r="AW1432" i="1"/>
  <c r="AX1432" i="1"/>
  <c r="AY1432" i="1"/>
  <c r="AW1433" i="1"/>
  <c r="AX1433" i="1"/>
  <c r="AY1433" i="1"/>
  <c r="AW1434" i="1"/>
  <c r="AX1434" i="1"/>
  <c r="AY1434" i="1"/>
  <c r="AW1435" i="1"/>
  <c r="AX1435" i="1"/>
  <c r="AY1435" i="1"/>
  <c r="AW1436" i="1"/>
  <c r="AX1436" i="1"/>
  <c r="AY1436" i="1"/>
  <c r="AW1437" i="1"/>
  <c r="AX1437" i="1"/>
  <c r="AY1437" i="1"/>
  <c r="AW1438" i="1"/>
  <c r="AX1438" i="1"/>
  <c r="AY1438" i="1"/>
  <c r="AW1439" i="1"/>
  <c r="AX1439" i="1"/>
  <c r="AY1439" i="1"/>
  <c r="AW1440" i="1"/>
  <c r="AX1440" i="1"/>
  <c r="AY1440" i="1"/>
  <c r="AW1441" i="1"/>
  <c r="AX1441" i="1"/>
  <c r="AY1441" i="1"/>
  <c r="AW1442" i="1"/>
  <c r="AX1442" i="1"/>
  <c r="AY1442" i="1"/>
  <c r="AW1443" i="1"/>
  <c r="AX1443" i="1"/>
  <c r="AY1443" i="1"/>
  <c r="AW1444" i="1"/>
  <c r="AX1444" i="1"/>
  <c r="AY1444" i="1"/>
  <c r="AW1445" i="1"/>
  <c r="AX1445" i="1"/>
  <c r="AY1445" i="1"/>
  <c r="AW1446" i="1"/>
  <c r="AX1446" i="1"/>
  <c r="AY1446" i="1"/>
  <c r="AW1447" i="1"/>
  <c r="AX1447" i="1"/>
  <c r="AY1447" i="1"/>
  <c r="AW1448" i="1"/>
  <c r="AX1448" i="1"/>
  <c r="AY1448" i="1"/>
  <c r="AW1449" i="1"/>
  <c r="AX1449" i="1"/>
  <c r="AY1449" i="1"/>
  <c r="AW1450" i="1"/>
  <c r="AX1450" i="1"/>
  <c r="AY1450" i="1"/>
  <c r="AW1451" i="1"/>
  <c r="AX1451" i="1"/>
  <c r="AY1451" i="1"/>
  <c r="AW1452" i="1"/>
  <c r="AX1452" i="1"/>
  <c r="AY1452" i="1"/>
  <c r="AW1453" i="1"/>
  <c r="AX1453" i="1"/>
  <c r="AY1453" i="1"/>
  <c r="AW1454" i="1"/>
  <c r="AX1454" i="1"/>
  <c r="AY1454" i="1"/>
  <c r="AW1455" i="1"/>
  <c r="AX1455" i="1"/>
  <c r="AY1455" i="1"/>
  <c r="AW1456" i="1"/>
  <c r="AX1456" i="1"/>
  <c r="AY1456" i="1"/>
  <c r="AW1457" i="1"/>
  <c r="AX1457" i="1"/>
  <c r="AY1457" i="1"/>
  <c r="AW1458" i="1"/>
  <c r="AX1458" i="1"/>
  <c r="AY1458" i="1"/>
  <c r="AW1459" i="1"/>
  <c r="AX1459" i="1"/>
  <c r="AY1459" i="1"/>
  <c r="AW1460" i="1"/>
  <c r="AX1460" i="1"/>
  <c r="AY1460" i="1"/>
  <c r="AW1461" i="1"/>
  <c r="AX1461" i="1"/>
  <c r="AY1461" i="1"/>
  <c r="AW1462" i="1"/>
  <c r="AX1462" i="1"/>
  <c r="AY1462" i="1"/>
  <c r="AW1463" i="1"/>
  <c r="AX1463" i="1"/>
  <c r="AY1463" i="1"/>
  <c r="AW1464" i="1"/>
  <c r="AX1464" i="1"/>
  <c r="AY1464" i="1"/>
  <c r="AW1465" i="1"/>
  <c r="AX1465" i="1"/>
  <c r="AY1465" i="1"/>
  <c r="AW1466" i="1"/>
  <c r="AX1466" i="1"/>
  <c r="AY1466" i="1"/>
  <c r="AW1467" i="1"/>
  <c r="AX1467" i="1"/>
  <c r="AY1467" i="1"/>
  <c r="AW1468" i="1"/>
  <c r="AX1468" i="1"/>
  <c r="AY1468" i="1"/>
  <c r="AW1469" i="1"/>
  <c r="AX1469" i="1"/>
  <c r="AY1469" i="1"/>
  <c r="AW1470" i="1"/>
  <c r="AX1470" i="1"/>
  <c r="AY1470" i="1"/>
  <c r="AW1471" i="1"/>
  <c r="AX1471" i="1"/>
  <c r="AY1471" i="1"/>
  <c r="AW1472" i="1"/>
  <c r="AX1472" i="1"/>
  <c r="AY1472" i="1"/>
  <c r="AW1473" i="1"/>
  <c r="AX1473" i="1"/>
  <c r="AY1473" i="1"/>
  <c r="AW1474" i="1"/>
  <c r="AX1474" i="1"/>
  <c r="AY1474" i="1"/>
  <c r="AW1475" i="1"/>
  <c r="AX1475" i="1"/>
  <c r="AY1475" i="1"/>
  <c r="AW1476" i="1"/>
  <c r="AX1476" i="1"/>
  <c r="AY1476" i="1"/>
  <c r="AW1477" i="1"/>
  <c r="AX1477" i="1"/>
  <c r="AY1477" i="1"/>
  <c r="AW1478" i="1"/>
  <c r="AX1478" i="1"/>
  <c r="AY1478" i="1"/>
  <c r="AW1479" i="1"/>
  <c r="AX1479" i="1"/>
  <c r="AY1479" i="1"/>
  <c r="AW1480" i="1"/>
  <c r="AX1480" i="1"/>
  <c r="AY1480" i="1"/>
  <c r="AW1481" i="1"/>
  <c r="AX1481" i="1"/>
  <c r="AY1481" i="1"/>
  <c r="AW1482" i="1"/>
  <c r="AX1482" i="1"/>
  <c r="AY1482" i="1"/>
  <c r="AW1483" i="1"/>
  <c r="AX1483" i="1"/>
  <c r="AY1483" i="1"/>
  <c r="AW1484" i="1"/>
  <c r="AX1484" i="1"/>
  <c r="AY1484" i="1"/>
  <c r="AW1485" i="1"/>
  <c r="AX1485" i="1"/>
  <c r="AY1485" i="1"/>
  <c r="AW1486" i="1"/>
  <c r="AX1486" i="1"/>
  <c r="AY1486" i="1"/>
  <c r="AW1487" i="1"/>
  <c r="AX1487" i="1"/>
  <c r="AY1487" i="1"/>
  <c r="AW1488" i="1"/>
  <c r="AX1488" i="1"/>
  <c r="AY1488" i="1"/>
  <c r="AW1489" i="1"/>
  <c r="AX1489" i="1"/>
  <c r="AY1489" i="1"/>
  <c r="AW1490" i="1"/>
  <c r="AX1490" i="1"/>
  <c r="AY1490" i="1"/>
  <c r="AW1491" i="1"/>
  <c r="AX1491" i="1"/>
  <c r="AY1491" i="1"/>
  <c r="AW1492" i="1"/>
  <c r="AX1492" i="1"/>
  <c r="AY1492" i="1"/>
  <c r="AW1493" i="1"/>
  <c r="AX1493" i="1"/>
  <c r="AY1493" i="1"/>
  <c r="AW1494" i="1"/>
  <c r="AX1494" i="1"/>
  <c r="AY1494" i="1"/>
  <c r="AW1495" i="1"/>
  <c r="AX1495" i="1"/>
  <c r="AY1495" i="1"/>
  <c r="AW1496" i="1"/>
  <c r="AX1496" i="1"/>
  <c r="AY1496" i="1"/>
  <c r="AW1497" i="1"/>
  <c r="AX1497" i="1"/>
  <c r="AY1497" i="1"/>
  <c r="AW1498" i="1"/>
  <c r="AX1498" i="1"/>
  <c r="AY1498" i="1"/>
  <c r="AW1499" i="1"/>
  <c r="AX1499" i="1"/>
  <c r="AY1499" i="1"/>
  <c r="AW1500" i="1"/>
  <c r="AX1500" i="1"/>
  <c r="AY1500" i="1"/>
  <c r="AW1501" i="1"/>
  <c r="AX1501" i="1"/>
  <c r="AY1501" i="1"/>
  <c r="AW1502" i="1"/>
  <c r="AX1502" i="1"/>
  <c r="AY1502" i="1"/>
  <c r="AW1503" i="1"/>
  <c r="AX1503" i="1"/>
  <c r="AY1503" i="1"/>
  <c r="AW1504" i="1"/>
  <c r="AX1504" i="1"/>
  <c r="AY1504" i="1"/>
  <c r="AW1505" i="1"/>
  <c r="AX1505" i="1"/>
  <c r="AY1505" i="1"/>
  <c r="AW1506" i="1"/>
  <c r="AX1506" i="1"/>
  <c r="AY1506" i="1"/>
  <c r="AW1507" i="1"/>
  <c r="AX1507" i="1"/>
  <c r="AY1507" i="1"/>
  <c r="AW1508" i="1"/>
  <c r="AX1508" i="1"/>
  <c r="AY1508" i="1"/>
  <c r="AW1509" i="1"/>
  <c r="AX1509" i="1"/>
  <c r="AY1509" i="1"/>
  <c r="AW1510" i="1"/>
  <c r="AX1510" i="1"/>
  <c r="AY1510" i="1"/>
  <c r="AW1511" i="1"/>
  <c r="AX1511" i="1"/>
  <c r="AY1511" i="1"/>
  <c r="AW1512" i="1"/>
  <c r="AX1512" i="1"/>
  <c r="AY1512" i="1"/>
  <c r="AW1513" i="1"/>
  <c r="AX1513" i="1"/>
  <c r="AY1513" i="1"/>
  <c r="AW1514" i="1"/>
  <c r="AX1514" i="1"/>
  <c r="AY1514" i="1"/>
  <c r="AW1515" i="1"/>
  <c r="AX1515" i="1"/>
  <c r="AY1515" i="1"/>
  <c r="AW1516" i="1"/>
  <c r="AX1516" i="1"/>
  <c r="AY1516" i="1"/>
  <c r="AW1517" i="1"/>
  <c r="AX1517" i="1"/>
  <c r="AY1517" i="1"/>
  <c r="AW1518" i="1"/>
  <c r="AX1518" i="1"/>
  <c r="AY1518" i="1"/>
  <c r="AW1519" i="1"/>
  <c r="AX1519" i="1"/>
  <c r="AY1519" i="1"/>
  <c r="AW1520" i="1"/>
  <c r="AX1520" i="1"/>
  <c r="AY1520" i="1"/>
  <c r="AW1521" i="1"/>
  <c r="AX1521" i="1"/>
  <c r="AY1521" i="1"/>
  <c r="AW1522" i="1"/>
  <c r="AX1522" i="1"/>
  <c r="AY1522" i="1"/>
  <c r="AW1523" i="1"/>
  <c r="AX1523" i="1"/>
  <c r="AY1523" i="1"/>
  <c r="AW1524" i="1"/>
  <c r="AX1524" i="1"/>
  <c r="AY1524" i="1"/>
  <c r="AW1525" i="1"/>
  <c r="AX1525" i="1"/>
  <c r="AY1525" i="1"/>
  <c r="AW1526" i="1"/>
  <c r="AX1526" i="1"/>
  <c r="AY1526" i="1"/>
  <c r="AW1527" i="1"/>
  <c r="AX1527" i="1"/>
  <c r="AY1527" i="1"/>
  <c r="AW1528" i="1"/>
  <c r="AX1528" i="1"/>
  <c r="AY1528" i="1"/>
  <c r="AW1529" i="1"/>
  <c r="AX1529" i="1"/>
  <c r="AY1529" i="1"/>
  <c r="AW1530" i="1"/>
  <c r="AX1530" i="1"/>
  <c r="AY1530" i="1"/>
  <c r="AW1531" i="1"/>
  <c r="AX1531" i="1"/>
  <c r="AY1531" i="1"/>
  <c r="AW1532" i="1"/>
  <c r="AX1532" i="1"/>
  <c r="AY1532" i="1"/>
  <c r="AW1533" i="1"/>
  <c r="AX1533" i="1"/>
  <c r="AY1533" i="1"/>
  <c r="AW1534" i="1"/>
  <c r="AX1534" i="1"/>
  <c r="AY1534" i="1"/>
  <c r="AW1535" i="1"/>
  <c r="AX1535" i="1"/>
  <c r="AY1535" i="1"/>
  <c r="AW1536" i="1"/>
  <c r="AX1536" i="1"/>
  <c r="AY1536" i="1"/>
  <c r="AW1537" i="1"/>
  <c r="AX1537" i="1"/>
  <c r="AY1537" i="1"/>
  <c r="AW1538" i="1"/>
  <c r="AX1538" i="1"/>
  <c r="AY1538" i="1"/>
  <c r="AW1539" i="1"/>
  <c r="AX1539" i="1"/>
  <c r="AY1539" i="1"/>
  <c r="AW1540" i="1"/>
  <c r="AX1540" i="1"/>
  <c r="AY1540" i="1"/>
  <c r="AW1541" i="1"/>
  <c r="AX1541" i="1"/>
  <c r="AY1541" i="1"/>
  <c r="AW1542" i="1"/>
  <c r="AX1542" i="1"/>
  <c r="AY1542" i="1"/>
  <c r="AW1543" i="1"/>
  <c r="AX1543" i="1"/>
  <c r="AY1543" i="1"/>
  <c r="AW1544" i="1"/>
  <c r="AX1544" i="1"/>
  <c r="AY1544" i="1"/>
  <c r="AW1545" i="1"/>
  <c r="AX1545" i="1"/>
  <c r="AY1545" i="1"/>
  <c r="AW1546" i="1"/>
  <c r="AX1546" i="1"/>
  <c r="AY1546" i="1"/>
  <c r="AW1547" i="1"/>
  <c r="AX1547" i="1"/>
  <c r="AY1547" i="1"/>
  <c r="AW1548" i="1"/>
  <c r="AX1548" i="1"/>
  <c r="AY1548" i="1"/>
  <c r="AW1549" i="1"/>
  <c r="AX1549" i="1"/>
  <c r="AY1549" i="1"/>
  <c r="AW1550" i="1"/>
  <c r="AX1550" i="1"/>
  <c r="AY1550" i="1"/>
  <c r="AW1551" i="1"/>
  <c r="AX1551" i="1"/>
  <c r="AY1551" i="1"/>
  <c r="AW1552" i="1"/>
  <c r="AX1552" i="1"/>
  <c r="AY1552" i="1"/>
  <c r="AW1553" i="1"/>
  <c r="AX1553" i="1"/>
  <c r="AY1553" i="1"/>
  <c r="AW1554" i="1"/>
  <c r="AX1554" i="1"/>
  <c r="AY1554" i="1"/>
  <c r="AW1555" i="1"/>
  <c r="AX1555" i="1"/>
  <c r="AY1555" i="1"/>
  <c r="AW1556" i="1"/>
  <c r="AX1556" i="1"/>
  <c r="AY1556" i="1"/>
  <c r="AW1557" i="1"/>
  <c r="AX1557" i="1"/>
  <c r="AY1557" i="1"/>
  <c r="AW1558" i="1"/>
  <c r="AX1558" i="1"/>
  <c r="AY1558" i="1"/>
  <c r="AW1559" i="1"/>
  <c r="AX1559" i="1"/>
  <c r="AY1559" i="1"/>
  <c r="AW1560" i="1"/>
  <c r="AX1560" i="1"/>
  <c r="AY1560" i="1"/>
  <c r="AW1561" i="1"/>
  <c r="AX1561" i="1"/>
  <c r="AY1561" i="1"/>
  <c r="AW1562" i="1"/>
  <c r="AX1562" i="1"/>
  <c r="AY1562" i="1"/>
  <c r="AW1563" i="1"/>
  <c r="AX1563" i="1"/>
  <c r="AY1563" i="1"/>
  <c r="AW1564" i="1"/>
  <c r="AX1564" i="1"/>
  <c r="AY1564" i="1"/>
  <c r="AW1565" i="1"/>
  <c r="AX1565" i="1"/>
  <c r="AY1565" i="1"/>
  <c r="AW1566" i="1"/>
  <c r="AX1566" i="1"/>
  <c r="AY1566" i="1"/>
  <c r="AW1567" i="1"/>
  <c r="AX1567" i="1"/>
  <c r="AY1567" i="1"/>
  <c r="AW1568" i="1"/>
  <c r="AX1568" i="1"/>
  <c r="AY1568" i="1"/>
  <c r="AW1569" i="1"/>
  <c r="AX1569" i="1"/>
  <c r="AY1569" i="1"/>
  <c r="AW1570" i="1"/>
  <c r="AX1570" i="1"/>
  <c r="AY1570" i="1"/>
  <c r="AW1571" i="1"/>
  <c r="AX1571" i="1"/>
  <c r="AY1571" i="1"/>
  <c r="AW1572" i="1"/>
  <c r="AX1572" i="1"/>
  <c r="AY1572" i="1"/>
  <c r="AW1573" i="1"/>
  <c r="AX1573" i="1"/>
  <c r="AY1573" i="1"/>
  <c r="AW1574" i="1"/>
  <c r="AX1574" i="1"/>
  <c r="AY1574" i="1"/>
  <c r="AW1575" i="1"/>
  <c r="AX1575" i="1"/>
  <c r="AY1575" i="1"/>
  <c r="AW1576" i="1"/>
  <c r="AX1576" i="1"/>
  <c r="AY1576" i="1"/>
  <c r="AW1577" i="1"/>
  <c r="AX1577" i="1"/>
  <c r="AY1577" i="1"/>
  <c r="AW1578" i="1"/>
  <c r="AX1578" i="1"/>
  <c r="AY1578" i="1"/>
  <c r="AW1579" i="1"/>
  <c r="AX1579" i="1"/>
  <c r="AY1579" i="1"/>
  <c r="AW1580" i="1"/>
  <c r="AX1580" i="1"/>
  <c r="AY1580" i="1"/>
  <c r="AW1581" i="1"/>
  <c r="AX1581" i="1"/>
  <c r="AY1581" i="1"/>
  <c r="AW1582" i="1"/>
  <c r="AX1582" i="1"/>
  <c r="AY1582" i="1"/>
  <c r="AW1583" i="1"/>
  <c r="AX1583" i="1"/>
  <c r="AY1583" i="1"/>
  <c r="AW1584" i="1"/>
  <c r="AX1584" i="1"/>
  <c r="AY1584" i="1"/>
  <c r="AW1585" i="1"/>
  <c r="AX1585" i="1"/>
  <c r="AY1585" i="1"/>
  <c r="AW1586" i="1"/>
  <c r="AX1586" i="1"/>
  <c r="AY1586" i="1"/>
  <c r="AW1587" i="1"/>
  <c r="AX1587" i="1"/>
  <c r="AY1587" i="1"/>
  <c r="AW1588" i="1"/>
  <c r="AX1588" i="1"/>
  <c r="AY1588" i="1"/>
  <c r="AW1589" i="1"/>
  <c r="AX1589" i="1"/>
  <c r="AY1589" i="1"/>
  <c r="AW1590" i="1"/>
  <c r="AX1590" i="1"/>
  <c r="AY1590" i="1"/>
  <c r="AW1591" i="1"/>
  <c r="AX1591" i="1"/>
  <c r="AY1591" i="1"/>
  <c r="AW1592" i="1"/>
  <c r="AX1592" i="1"/>
  <c r="AY1592" i="1"/>
  <c r="AW1593" i="1"/>
  <c r="AX1593" i="1"/>
  <c r="AY1593" i="1"/>
  <c r="AW1594" i="1"/>
  <c r="AX1594" i="1"/>
  <c r="AY1594" i="1"/>
  <c r="AW1595" i="1"/>
  <c r="AX1595" i="1"/>
  <c r="AY1595" i="1"/>
  <c r="AW1596" i="1"/>
  <c r="AX1596" i="1"/>
  <c r="AY1596" i="1"/>
  <c r="AW1597" i="1"/>
  <c r="AX1597" i="1"/>
  <c r="AY1597" i="1"/>
  <c r="AW1598" i="1"/>
  <c r="AX1598" i="1"/>
  <c r="AY1598" i="1"/>
  <c r="AW1599" i="1"/>
  <c r="AX1599" i="1"/>
  <c r="AY1599" i="1"/>
  <c r="AW1600" i="1"/>
  <c r="AX1600" i="1"/>
  <c r="AY1600" i="1"/>
  <c r="AW1601" i="1"/>
  <c r="AX1601" i="1"/>
  <c r="AY1601" i="1"/>
  <c r="AW1602" i="1"/>
  <c r="AX1602" i="1"/>
  <c r="AY1602" i="1"/>
  <c r="AW1603" i="1"/>
  <c r="AX1603" i="1"/>
  <c r="AY1603" i="1"/>
  <c r="AW1604" i="1"/>
  <c r="AX1604" i="1"/>
  <c r="AY1604" i="1"/>
  <c r="AW1605" i="1"/>
  <c r="AX1605" i="1"/>
  <c r="AY1605" i="1"/>
  <c r="AW1606" i="1"/>
  <c r="AX1606" i="1"/>
  <c r="AY1606" i="1"/>
  <c r="AW1607" i="1"/>
  <c r="AX1607" i="1"/>
  <c r="AY1607" i="1"/>
  <c r="AW1608" i="1"/>
  <c r="AX1608" i="1"/>
  <c r="AY1608" i="1"/>
  <c r="AW1609" i="1"/>
  <c r="AX1609" i="1"/>
  <c r="AY1609" i="1"/>
  <c r="AW1610" i="1"/>
  <c r="AX1610" i="1"/>
  <c r="AY1610" i="1"/>
  <c r="AW1611" i="1"/>
  <c r="AX1611" i="1"/>
  <c r="AY1611" i="1"/>
  <c r="AW1612" i="1"/>
  <c r="AX1612" i="1"/>
  <c r="AY1612" i="1"/>
  <c r="AW1613" i="1"/>
  <c r="AX1613" i="1"/>
  <c r="AY1613" i="1"/>
  <c r="AW1614" i="1"/>
  <c r="AX1614" i="1"/>
  <c r="AY1614" i="1"/>
  <c r="AW1615" i="1"/>
  <c r="AX1615" i="1"/>
  <c r="AY1615" i="1"/>
  <c r="AW1616" i="1"/>
  <c r="AX1616" i="1"/>
  <c r="AY1616" i="1"/>
  <c r="AW1617" i="1"/>
  <c r="AX1617" i="1"/>
  <c r="AY1617" i="1"/>
  <c r="AW1618" i="1"/>
  <c r="AX1618" i="1"/>
  <c r="AY1618" i="1"/>
  <c r="AW1619" i="1"/>
  <c r="AX1619" i="1"/>
  <c r="AY1619" i="1"/>
  <c r="AW1620" i="1"/>
  <c r="AX1620" i="1"/>
  <c r="AY1620" i="1"/>
  <c r="AW1621" i="1"/>
  <c r="AX1621" i="1"/>
  <c r="AY1621" i="1"/>
  <c r="AW1622" i="1"/>
  <c r="AX1622" i="1"/>
  <c r="AY1622" i="1"/>
  <c r="AW1623" i="1"/>
  <c r="AX1623" i="1"/>
  <c r="AY1623" i="1"/>
  <c r="AW1624" i="1"/>
  <c r="AX1624" i="1"/>
  <c r="AY1624" i="1"/>
  <c r="AW1625" i="1"/>
  <c r="AX1625" i="1"/>
  <c r="AY1625" i="1"/>
  <c r="AW1626" i="1"/>
  <c r="AX1626" i="1"/>
  <c r="AY1626" i="1"/>
  <c r="AW1627" i="1"/>
  <c r="AX1627" i="1"/>
  <c r="AY1627" i="1"/>
  <c r="AW1628" i="1"/>
  <c r="AX1628" i="1"/>
  <c r="AY1628" i="1"/>
  <c r="AW1629" i="1"/>
  <c r="AX1629" i="1"/>
  <c r="AY1629" i="1"/>
  <c r="AW1630" i="1"/>
  <c r="AX1630" i="1"/>
  <c r="AY1630" i="1"/>
  <c r="AW1631" i="1"/>
  <c r="AX1631" i="1"/>
  <c r="AY1631" i="1"/>
  <c r="AW1632" i="1"/>
  <c r="AX1632" i="1"/>
  <c r="AY1632" i="1"/>
  <c r="AW1633" i="1"/>
  <c r="AX1633" i="1"/>
  <c r="AY1633" i="1"/>
  <c r="AW1634" i="1"/>
  <c r="AX1634" i="1"/>
  <c r="AY1634" i="1"/>
  <c r="AW1635" i="1"/>
  <c r="AX1635" i="1"/>
  <c r="AY1635" i="1"/>
  <c r="AW1636" i="1"/>
  <c r="AX1636" i="1"/>
  <c r="AY1636" i="1"/>
  <c r="AW1637" i="1"/>
  <c r="AX1637" i="1"/>
  <c r="AY1637" i="1"/>
  <c r="AW1638" i="1"/>
  <c r="AX1638" i="1"/>
  <c r="AY1638" i="1"/>
  <c r="AW1639" i="1"/>
  <c r="AX1639" i="1"/>
  <c r="AY1639" i="1"/>
  <c r="AW1640" i="1"/>
  <c r="AX1640" i="1"/>
  <c r="AY1640" i="1"/>
  <c r="AW1641" i="1"/>
  <c r="AX1641" i="1"/>
  <c r="AY1641" i="1"/>
  <c r="AW1642" i="1"/>
  <c r="AX1642" i="1"/>
  <c r="AY1642" i="1"/>
  <c r="AW1643" i="1"/>
  <c r="AX1643" i="1"/>
  <c r="AY1643" i="1"/>
  <c r="AW1644" i="1"/>
  <c r="AX1644" i="1"/>
  <c r="AY1644" i="1"/>
  <c r="AW1645" i="1"/>
  <c r="AX1645" i="1"/>
  <c r="AY1645" i="1"/>
  <c r="AW1646" i="1"/>
  <c r="AX1646" i="1"/>
  <c r="AY1646" i="1"/>
  <c r="AW1647" i="1"/>
  <c r="AX1647" i="1"/>
  <c r="AY1647" i="1"/>
  <c r="AW1648" i="1"/>
  <c r="AX1648" i="1"/>
  <c r="AY1648" i="1"/>
  <c r="AW1649" i="1"/>
  <c r="AX1649" i="1"/>
  <c r="AY1649" i="1"/>
  <c r="AW1650" i="1"/>
  <c r="AX1650" i="1"/>
  <c r="AY1650" i="1"/>
  <c r="AW1651" i="1"/>
  <c r="AX1651" i="1"/>
  <c r="AY1651" i="1"/>
  <c r="AW1652" i="1"/>
  <c r="AX1652" i="1"/>
  <c r="AY1652" i="1"/>
  <c r="AW1653" i="1"/>
  <c r="AX1653" i="1"/>
  <c r="AY1653" i="1"/>
  <c r="AW1654" i="1"/>
  <c r="AX1654" i="1"/>
  <c r="AY1654" i="1"/>
  <c r="AW1655" i="1"/>
  <c r="AX1655" i="1"/>
  <c r="AY1655" i="1"/>
  <c r="AW1656" i="1"/>
  <c r="AX1656" i="1"/>
  <c r="AY1656" i="1"/>
  <c r="AW1657" i="1"/>
  <c r="AX1657" i="1"/>
  <c r="AY1657" i="1"/>
  <c r="AW1658" i="1"/>
  <c r="AX1658" i="1"/>
  <c r="AY1658" i="1"/>
  <c r="AW1659" i="1"/>
  <c r="AX1659" i="1"/>
  <c r="AY1659" i="1"/>
  <c r="AW1660" i="1"/>
  <c r="AX1660" i="1"/>
  <c r="AY1660" i="1"/>
  <c r="AW1661" i="1"/>
  <c r="AX1661" i="1"/>
  <c r="AY1661" i="1"/>
  <c r="AW1662" i="1"/>
  <c r="AX1662" i="1"/>
  <c r="AY1662" i="1"/>
  <c r="AW1663" i="1"/>
  <c r="AX1663" i="1"/>
  <c r="AY1663" i="1"/>
  <c r="AW1664" i="1"/>
  <c r="AX1664" i="1"/>
  <c r="AY1664" i="1"/>
  <c r="AW1665" i="1"/>
  <c r="AX1665" i="1"/>
  <c r="AY1665" i="1"/>
  <c r="AW1666" i="1"/>
  <c r="AX1666" i="1"/>
  <c r="AY1666" i="1"/>
  <c r="AW1667" i="1"/>
  <c r="AX1667" i="1"/>
  <c r="AY1667" i="1"/>
  <c r="AW1668" i="1"/>
  <c r="AX1668" i="1"/>
  <c r="AY1668" i="1"/>
  <c r="AW1669" i="1"/>
  <c r="AX1669" i="1"/>
  <c r="AY1669" i="1"/>
  <c r="AW1670" i="1"/>
  <c r="AX1670" i="1"/>
  <c r="AY1670" i="1"/>
  <c r="AW1671" i="1"/>
  <c r="AX1671" i="1"/>
  <c r="AY1671" i="1"/>
  <c r="AW1672" i="1"/>
  <c r="AX1672" i="1"/>
  <c r="AY1672" i="1"/>
  <c r="AW1673" i="1"/>
  <c r="AX1673" i="1"/>
  <c r="AY1673" i="1"/>
  <c r="AW1674" i="1"/>
  <c r="AX1674" i="1"/>
  <c r="AY1674" i="1"/>
  <c r="AW1675" i="1"/>
  <c r="AX1675" i="1"/>
  <c r="AY1675" i="1"/>
  <c r="AW1676" i="1"/>
  <c r="AX1676" i="1"/>
  <c r="AY1676" i="1"/>
  <c r="AW1677" i="1"/>
  <c r="AX1677" i="1"/>
  <c r="AY1677" i="1"/>
  <c r="AW1678" i="1"/>
  <c r="AX1678" i="1"/>
  <c r="AY1678" i="1"/>
  <c r="AW1679" i="1"/>
  <c r="AX1679" i="1"/>
  <c r="AY1679" i="1"/>
  <c r="AW1680" i="1"/>
  <c r="AX1680" i="1"/>
  <c r="AY1680" i="1"/>
  <c r="AW1681" i="1"/>
  <c r="AX1681" i="1"/>
  <c r="AY1681" i="1"/>
  <c r="AW1682" i="1"/>
  <c r="AX1682" i="1"/>
  <c r="AY1682" i="1"/>
  <c r="AW1683" i="1"/>
  <c r="AX1683" i="1"/>
  <c r="AY1683" i="1"/>
  <c r="AW1684" i="1"/>
  <c r="AX1684" i="1"/>
  <c r="AY1684" i="1"/>
  <c r="AW1685" i="1"/>
  <c r="AX1685" i="1"/>
  <c r="AY1685" i="1"/>
  <c r="AW1686" i="1"/>
  <c r="AX1686" i="1"/>
  <c r="AY1686" i="1"/>
  <c r="AW1687" i="1"/>
  <c r="AX1687" i="1"/>
  <c r="AY1687" i="1"/>
  <c r="AW1688" i="1"/>
  <c r="AX1688" i="1"/>
  <c r="AY1688" i="1"/>
  <c r="AW1689" i="1"/>
  <c r="AX1689" i="1"/>
  <c r="AY1689" i="1"/>
  <c r="AW1690" i="1"/>
  <c r="AX1690" i="1"/>
  <c r="AY1690" i="1"/>
  <c r="AW1691" i="1"/>
  <c r="AX1691" i="1"/>
  <c r="AY1691" i="1"/>
  <c r="AW1692" i="1"/>
  <c r="AX1692" i="1"/>
  <c r="AY1692" i="1"/>
  <c r="AW1693" i="1"/>
  <c r="AX1693" i="1"/>
  <c r="AY1693" i="1"/>
  <c r="AW1694" i="1"/>
  <c r="AX1694" i="1"/>
  <c r="AY1694" i="1"/>
  <c r="AW1695" i="1"/>
  <c r="AX1695" i="1"/>
  <c r="AY1695" i="1"/>
  <c r="AW1696" i="1"/>
  <c r="AX1696" i="1"/>
  <c r="AY1696" i="1"/>
  <c r="AW1697" i="1"/>
  <c r="AX1697" i="1"/>
  <c r="AY1697" i="1"/>
  <c r="AW1698" i="1"/>
  <c r="AX1698" i="1"/>
  <c r="AY1698" i="1"/>
  <c r="AW1699" i="1"/>
  <c r="AX1699" i="1"/>
  <c r="AY1699" i="1"/>
  <c r="AW1700" i="1"/>
  <c r="AX1700" i="1"/>
  <c r="AY1700" i="1"/>
  <c r="AW1701" i="1"/>
  <c r="AX1701" i="1"/>
  <c r="AY1701" i="1"/>
  <c r="AW1702" i="1"/>
  <c r="AX1702" i="1"/>
  <c r="AY1702" i="1"/>
  <c r="AW1703" i="1"/>
  <c r="AX1703" i="1"/>
  <c r="AY1703" i="1"/>
  <c r="AW1704" i="1"/>
  <c r="AX1704" i="1"/>
  <c r="AY1704" i="1"/>
  <c r="AW1705" i="1"/>
  <c r="AX1705" i="1"/>
  <c r="AY1705" i="1"/>
  <c r="AW1706" i="1"/>
  <c r="AX1706" i="1"/>
  <c r="AY1706" i="1"/>
  <c r="AW1707" i="1"/>
  <c r="AX1707" i="1"/>
  <c r="AY1707" i="1"/>
  <c r="AW1708" i="1"/>
  <c r="AX1708" i="1"/>
  <c r="AY1708" i="1"/>
  <c r="AW1709" i="1"/>
  <c r="AX1709" i="1"/>
  <c r="AY1709" i="1"/>
  <c r="AW1710" i="1"/>
  <c r="AX1710" i="1"/>
  <c r="AY1710" i="1"/>
  <c r="AW1711" i="1"/>
  <c r="AX1711" i="1"/>
  <c r="AY1711" i="1"/>
  <c r="AW1712" i="1"/>
  <c r="AX1712" i="1"/>
  <c r="AY1712" i="1"/>
  <c r="AW1713" i="1"/>
  <c r="AX1713" i="1"/>
  <c r="AY1713" i="1"/>
  <c r="AW1714" i="1"/>
  <c r="AX1714" i="1"/>
  <c r="AY1714" i="1"/>
  <c r="AW1715" i="1"/>
  <c r="AX1715" i="1"/>
  <c r="AY1715" i="1"/>
  <c r="AW1716" i="1"/>
  <c r="AX1716" i="1"/>
  <c r="AY1716" i="1"/>
  <c r="AW1717" i="1"/>
  <c r="AX1717" i="1"/>
  <c r="AY1717" i="1"/>
  <c r="AW1718" i="1"/>
  <c r="AX1718" i="1"/>
  <c r="AY1718" i="1"/>
  <c r="AW1719" i="1"/>
  <c r="AX1719" i="1"/>
  <c r="AY1719" i="1"/>
  <c r="AW1720" i="1"/>
  <c r="AX1720" i="1"/>
  <c r="AY1720" i="1"/>
  <c r="AW1721" i="1"/>
  <c r="AX1721" i="1"/>
  <c r="AY1721" i="1"/>
  <c r="AW1722" i="1"/>
  <c r="AX1722" i="1"/>
  <c r="AY1722" i="1"/>
  <c r="AW1723" i="1"/>
  <c r="AX1723" i="1"/>
  <c r="AY1723" i="1"/>
  <c r="AW1724" i="1"/>
  <c r="AX1724" i="1"/>
  <c r="AY1724" i="1"/>
  <c r="AW1725" i="1"/>
  <c r="AX1725" i="1"/>
  <c r="AY1725" i="1"/>
  <c r="AW1726" i="1"/>
  <c r="AX1726" i="1"/>
  <c r="AY1726" i="1"/>
  <c r="AW1727" i="1"/>
  <c r="AX1727" i="1"/>
  <c r="AY1727" i="1"/>
  <c r="AW1728" i="1"/>
  <c r="AX1728" i="1"/>
  <c r="AY1728" i="1"/>
  <c r="AW1729" i="1"/>
  <c r="AX1729" i="1"/>
  <c r="AY1729" i="1"/>
  <c r="AW1730" i="1"/>
  <c r="AX1730" i="1"/>
  <c r="AY1730" i="1"/>
  <c r="AW1731" i="1"/>
  <c r="AX1731" i="1"/>
  <c r="AY1731" i="1"/>
  <c r="AW1732" i="1"/>
  <c r="AX1732" i="1"/>
  <c r="AY1732" i="1"/>
  <c r="AW1733" i="1"/>
  <c r="AX1733" i="1"/>
  <c r="AY1733" i="1"/>
  <c r="AW1734" i="1"/>
  <c r="AX1734" i="1"/>
  <c r="AY1734" i="1"/>
  <c r="AW1735" i="1"/>
  <c r="AX1735" i="1"/>
  <c r="AY1735" i="1"/>
  <c r="AW1736" i="1"/>
  <c r="AX1736" i="1"/>
  <c r="AY1736" i="1"/>
  <c r="AW1737" i="1"/>
  <c r="AX1737" i="1"/>
  <c r="AY1737" i="1"/>
  <c r="AW1738" i="1"/>
  <c r="AX1738" i="1"/>
  <c r="AY1738" i="1"/>
  <c r="AW1739" i="1"/>
  <c r="AX1739" i="1"/>
  <c r="AY1739" i="1"/>
  <c r="AW1740" i="1"/>
  <c r="AX1740" i="1"/>
  <c r="AY1740" i="1"/>
  <c r="AW1741" i="1"/>
  <c r="AX1741" i="1"/>
  <c r="AY1741" i="1"/>
  <c r="AW1742" i="1"/>
  <c r="AX1742" i="1"/>
  <c r="AY1742" i="1"/>
  <c r="AW1743" i="1"/>
  <c r="AX1743" i="1"/>
  <c r="AY1743" i="1"/>
  <c r="AW1744" i="1"/>
  <c r="AX1744" i="1"/>
  <c r="AY1744" i="1"/>
  <c r="AW1745" i="1"/>
  <c r="AX1745" i="1"/>
  <c r="AY1745" i="1"/>
  <c r="AW1746" i="1"/>
  <c r="AX1746" i="1"/>
  <c r="AY1746" i="1"/>
  <c r="AW1747" i="1"/>
  <c r="AX1747" i="1"/>
  <c r="AY1747" i="1"/>
  <c r="AW1748" i="1"/>
  <c r="AX1748" i="1"/>
  <c r="AY1748" i="1"/>
  <c r="AW1749" i="1"/>
  <c r="AX1749" i="1"/>
  <c r="AY1749" i="1"/>
  <c r="AW1750" i="1"/>
  <c r="AX1750" i="1"/>
  <c r="AY1750" i="1"/>
  <c r="AW1751" i="1"/>
  <c r="AX1751" i="1"/>
  <c r="AY1751" i="1"/>
  <c r="AW1752" i="1"/>
  <c r="AX1752" i="1"/>
  <c r="AY1752" i="1"/>
  <c r="AW1753" i="1"/>
  <c r="AX1753" i="1"/>
  <c r="AY1753" i="1"/>
  <c r="AW1754" i="1"/>
  <c r="AX1754" i="1"/>
  <c r="AY1754" i="1"/>
  <c r="AW1755" i="1"/>
  <c r="AX1755" i="1"/>
  <c r="AY1755" i="1"/>
  <c r="AW1756" i="1"/>
  <c r="AX1756" i="1"/>
  <c r="AY1756" i="1"/>
  <c r="AW1757" i="1"/>
  <c r="AX1757" i="1"/>
  <c r="AY1757" i="1"/>
  <c r="AW1758" i="1"/>
  <c r="AX1758" i="1"/>
  <c r="AY1758" i="1"/>
  <c r="AW1759" i="1"/>
  <c r="AX1759" i="1"/>
  <c r="AY1759" i="1"/>
  <c r="AW1760" i="1"/>
  <c r="AX1760" i="1"/>
  <c r="AY1760" i="1"/>
  <c r="AW1761" i="1"/>
  <c r="AX1761" i="1"/>
  <c r="AY1761" i="1"/>
  <c r="AW1762" i="1"/>
  <c r="AX1762" i="1"/>
  <c r="AY1762" i="1"/>
  <c r="AW1763" i="1"/>
  <c r="AX1763" i="1"/>
  <c r="AY1763" i="1"/>
  <c r="AW1764" i="1"/>
  <c r="AX1764" i="1"/>
  <c r="AY1764" i="1"/>
  <c r="AW1765" i="1"/>
  <c r="AX1765" i="1"/>
  <c r="AY1765" i="1"/>
  <c r="AW1766" i="1"/>
  <c r="AX1766" i="1"/>
  <c r="AY1766" i="1"/>
  <c r="AW1767" i="1"/>
  <c r="AX1767" i="1"/>
  <c r="AY1767" i="1"/>
  <c r="AW1768" i="1"/>
  <c r="AX1768" i="1"/>
  <c r="AY1768" i="1"/>
  <c r="AW1769" i="1"/>
  <c r="AX1769" i="1"/>
  <c r="AY1769" i="1"/>
  <c r="AW1770" i="1"/>
  <c r="AX1770" i="1"/>
  <c r="AY1770" i="1"/>
  <c r="AW1771" i="1"/>
  <c r="AX1771" i="1"/>
  <c r="AY1771" i="1"/>
  <c r="AW1772" i="1"/>
  <c r="AX1772" i="1"/>
  <c r="AY1772" i="1"/>
  <c r="AW1773" i="1"/>
  <c r="AX1773" i="1"/>
  <c r="AY1773" i="1"/>
  <c r="AW1774" i="1"/>
  <c r="AX1774" i="1"/>
  <c r="AY1774" i="1"/>
  <c r="AW1775" i="1"/>
  <c r="AX1775" i="1"/>
  <c r="AY1775" i="1"/>
  <c r="AW1776" i="1"/>
  <c r="AX1776" i="1"/>
  <c r="AY1776" i="1"/>
  <c r="AW1777" i="1"/>
  <c r="AX1777" i="1"/>
  <c r="AY1777" i="1"/>
  <c r="AW1778" i="1"/>
  <c r="AX1778" i="1"/>
  <c r="AY1778" i="1"/>
  <c r="AW1779" i="1"/>
  <c r="AX1779" i="1"/>
  <c r="AY1779" i="1"/>
  <c r="AW1780" i="1"/>
  <c r="AX1780" i="1"/>
  <c r="AY1780" i="1"/>
  <c r="AW1781" i="1"/>
  <c r="AX1781" i="1"/>
  <c r="AY1781" i="1"/>
  <c r="AW1782" i="1"/>
  <c r="AX1782" i="1"/>
  <c r="AY1782" i="1"/>
  <c r="AW1783" i="1"/>
  <c r="AX1783" i="1"/>
  <c r="AY1783" i="1"/>
  <c r="AW1784" i="1"/>
  <c r="AX1784" i="1"/>
  <c r="AY1784" i="1"/>
  <c r="AW1785" i="1"/>
  <c r="AX1785" i="1"/>
  <c r="AY1785" i="1"/>
  <c r="AW1786" i="1"/>
  <c r="AX1786" i="1"/>
  <c r="AY1786" i="1"/>
  <c r="AW1787" i="1"/>
  <c r="AX1787" i="1"/>
  <c r="AY1787" i="1"/>
  <c r="AW1788" i="1"/>
  <c r="AX1788" i="1"/>
  <c r="AY1788" i="1"/>
  <c r="AW1789" i="1"/>
  <c r="AX1789" i="1"/>
  <c r="AY1789" i="1"/>
  <c r="AW1790" i="1"/>
  <c r="AX1790" i="1"/>
  <c r="AY1790" i="1"/>
  <c r="AW1791" i="1"/>
  <c r="AX1791" i="1"/>
  <c r="AY1791" i="1"/>
  <c r="AW1792" i="1"/>
  <c r="AX1792" i="1"/>
  <c r="AY1792" i="1"/>
  <c r="AW1793" i="1"/>
  <c r="AX1793" i="1"/>
  <c r="AY1793" i="1"/>
  <c r="AW1794" i="1"/>
  <c r="AX1794" i="1"/>
  <c r="AY1794" i="1"/>
  <c r="AW1795" i="1"/>
  <c r="AX1795" i="1"/>
  <c r="AY1795" i="1"/>
  <c r="AW1796" i="1"/>
  <c r="AX1796" i="1"/>
  <c r="AY1796" i="1"/>
  <c r="AW1797" i="1"/>
  <c r="AX1797" i="1"/>
  <c r="AY1797" i="1"/>
  <c r="AW1798" i="1"/>
  <c r="AX1798" i="1"/>
  <c r="AY1798" i="1"/>
  <c r="AW1799" i="1"/>
  <c r="AX1799" i="1"/>
  <c r="AY1799" i="1"/>
  <c r="AW1800" i="1"/>
  <c r="AX1800" i="1"/>
  <c r="AY1800" i="1"/>
  <c r="AW1801" i="1"/>
  <c r="AX1801" i="1"/>
  <c r="AY1801" i="1"/>
  <c r="AW1802" i="1"/>
  <c r="AX1802" i="1"/>
  <c r="AY1802" i="1"/>
  <c r="AW1803" i="1"/>
  <c r="AX1803" i="1"/>
  <c r="AY1803" i="1"/>
  <c r="AW1804" i="1"/>
  <c r="AX1804" i="1"/>
  <c r="AY1804" i="1"/>
  <c r="AW1805" i="1"/>
  <c r="AX1805" i="1"/>
  <c r="AY1805" i="1"/>
  <c r="AW1806" i="1"/>
  <c r="AX1806" i="1"/>
  <c r="AY1806" i="1"/>
  <c r="AW1807" i="1"/>
  <c r="AX1807" i="1"/>
  <c r="AY1807" i="1"/>
  <c r="AW1808" i="1"/>
  <c r="AX1808" i="1"/>
  <c r="AY1808" i="1"/>
  <c r="AW1809" i="1"/>
  <c r="AX1809" i="1"/>
  <c r="AY1809" i="1"/>
  <c r="AW1810" i="1"/>
  <c r="AX1810" i="1"/>
  <c r="AY1810" i="1"/>
  <c r="AW1811" i="1"/>
  <c r="AX1811" i="1"/>
  <c r="AY1811" i="1"/>
  <c r="AW1812" i="1"/>
  <c r="AX1812" i="1"/>
  <c r="AY1812" i="1"/>
  <c r="AW1813" i="1"/>
  <c r="AX1813" i="1"/>
  <c r="AY1813" i="1"/>
  <c r="AW1814" i="1"/>
  <c r="AX1814" i="1"/>
  <c r="AY1814" i="1"/>
  <c r="AW1815" i="1"/>
  <c r="AX1815" i="1"/>
  <c r="AY1815" i="1"/>
  <c r="AW1816" i="1"/>
  <c r="AX1816" i="1"/>
  <c r="AY1816" i="1"/>
  <c r="AW1817" i="1"/>
  <c r="AX1817" i="1"/>
  <c r="AY1817" i="1"/>
  <c r="AW1818" i="1"/>
  <c r="AX1818" i="1"/>
  <c r="AY1818" i="1"/>
  <c r="AW1819" i="1"/>
  <c r="AX1819" i="1"/>
  <c r="AY1819" i="1"/>
  <c r="AW1820" i="1"/>
  <c r="AX1820" i="1"/>
  <c r="AY1820" i="1"/>
  <c r="AW1821" i="1"/>
  <c r="AX1821" i="1"/>
  <c r="AY1821" i="1"/>
  <c r="AW1822" i="1"/>
  <c r="AX1822" i="1"/>
  <c r="AY1822" i="1"/>
  <c r="AW1823" i="1"/>
  <c r="AX1823" i="1"/>
  <c r="AY1823" i="1"/>
  <c r="AW1824" i="1"/>
  <c r="AX1824" i="1"/>
  <c r="AY1824" i="1"/>
  <c r="AW1825" i="1"/>
  <c r="AX1825" i="1"/>
  <c r="AY1825" i="1"/>
  <c r="AW1826" i="1"/>
  <c r="AX1826" i="1"/>
  <c r="AY1826" i="1"/>
  <c r="AW1827" i="1"/>
  <c r="AX1827" i="1"/>
  <c r="AY1827" i="1"/>
  <c r="AW1828" i="1"/>
  <c r="AX1828" i="1"/>
  <c r="AY1828" i="1"/>
  <c r="AW1829" i="1"/>
  <c r="AX1829" i="1"/>
  <c r="AY1829" i="1"/>
  <c r="AW1830" i="1"/>
  <c r="AX1830" i="1"/>
  <c r="AY1830" i="1"/>
  <c r="AW1831" i="1"/>
  <c r="AX1831" i="1"/>
  <c r="AY1831" i="1"/>
  <c r="AW1832" i="1"/>
  <c r="AX1832" i="1"/>
  <c r="AY1832" i="1"/>
  <c r="AW1833" i="1"/>
  <c r="AX1833" i="1"/>
  <c r="AY1833" i="1"/>
  <c r="AW1834" i="1"/>
  <c r="AX1834" i="1"/>
  <c r="AY1834" i="1"/>
  <c r="AW1835" i="1"/>
  <c r="AX1835" i="1"/>
  <c r="AY1835" i="1"/>
  <c r="AW1836" i="1"/>
  <c r="AX1836" i="1"/>
  <c r="AY1836" i="1"/>
  <c r="AW1837" i="1"/>
  <c r="AX1837" i="1"/>
  <c r="AY1837" i="1"/>
  <c r="AW1838" i="1"/>
  <c r="AX1838" i="1"/>
  <c r="AY1838" i="1"/>
  <c r="AW1839" i="1"/>
  <c r="AX1839" i="1"/>
  <c r="AY1839" i="1"/>
  <c r="AW1840" i="1"/>
  <c r="AX1840" i="1"/>
  <c r="AY1840" i="1"/>
  <c r="AW1841" i="1"/>
  <c r="AX1841" i="1"/>
  <c r="AY1841" i="1"/>
  <c r="AW1842" i="1"/>
  <c r="AX1842" i="1"/>
  <c r="AY1842" i="1"/>
  <c r="AW1843" i="1"/>
  <c r="AX1843" i="1"/>
  <c r="AY1843" i="1"/>
  <c r="AW1844" i="1"/>
  <c r="AX1844" i="1"/>
  <c r="AY1844" i="1"/>
  <c r="AW1845" i="1"/>
  <c r="AX1845" i="1"/>
  <c r="AY1845" i="1"/>
  <c r="AW1846" i="1"/>
  <c r="AX1846" i="1"/>
  <c r="AY1846" i="1"/>
  <c r="AW1847" i="1"/>
  <c r="AX1847" i="1"/>
  <c r="AY1847" i="1"/>
  <c r="AW1848" i="1"/>
  <c r="AX1848" i="1"/>
  <c r="AY1848" i="1"/>
  <c r="AW1849" i="1"/>
  <c r="AX1849" i="1"/>
  <c r="AY1849" i="1"/>
  <c r="AW1850" i="1"/>
  <c r="AX1850" i="1"/>
  <c r="AY1850" i="1"/>
  <c r="AW1851" i="1"/>
  <c r="AX1851" i="1"/>
  <c r="AY1851" i="1"/>
  <c r="AW1852" i="1"/>
  <c r="AX1852" i="1"/>
  <c r="AY1852" i="1"/>
  <c r="AW1853" i="1"/>
  <c r="AX1853" i="1"/>
  <c r="AY1853" i="1"/>
  <c r="AW1854" i="1"/>
  <c r="AX1854" i="1"/>
  <c r="AY1854" i="1"/>
  <c r="AW1855" i="1"/>
  <c r="AX1855" i="1"/>
  <c r="AY1855" i="1"/>
  <c r="AW1856" i="1"/>
  <c r="AX1856" i="1"/>
  <c r="AY1856" i="1"/>
  <c r="AW1857" i="1"/>
  <c r="AX1857" i="1"/>
  <c r="AY1857" i="1"/>
  <c r="AW1858" i="1"/>
  <c r="AX1858" i="1"/>
  <c r="AY1858" i="1"/>
  <c r="AW1859" i="1"/>
  <c r="AX1859" i="1"/>
  <c r="AY1859" i="1"/>
  <c r="AW1860" i="1"/>
  <c r="AX1860" i="1"/>
  <c r="AY1860" i="1"/>
  <c r="AW1861" i="1"/>
  <c r="AX1861" i="1"/>
  <c r="AY1861" i="1"/>
  <c r="AW1862" i="1"/>
  <c r="AX1862" i="1"/>
  <c r="AY1862" i="1"/>
  <c r="AW1863" i="1"/>
  <c r="AX1863" i="1"/>
  <c r="AY1863" i="1"/>
  <c r="AW1864" i="1"/>
  <c r="AX1864" i="1"/>
  <c r="AY1864" i="1"/>
  <c r="AW1865" i="1"/>
  <c r="AX1865" i="1"/>
  <c r="AY1865" i="1"/>
  <c r="AW1866" i="1"/>
  <c r="AX1866" i="1"/>
  <c r="AY1866" i="1"/>
  <c r="AW1867" i="1"/>
  <c r="AX1867" i="1"/>
  <c r="AY1867" i="1"/>
  <c r="AW1868" i="1"/>
  <c r="AX1868" i="1"/>
  <c r="AY1868" i="1"/>
  <c r="AW1869" i="1"/>
  <c r="AX1869" i="1"/>
  <c r="AY1869" i="1"/>
  <c r="AW1870" i="1"/>
  <c r="AX1870" i="1"/>
  <c r="AY1870" i="1"/>
  <c r="AW1871" i="1"/>
  <c r="AX1871" i="1"/>
  <c r="AY1871" i="1"/>
  <c r="AW1872" i="1"/>
  <c r="AX1872" i="1"/>
  <c r="AY1872" i="1"/>
  <c r="AW1873" i="1"/>
  <c r="AX1873" i="1"/>
  <c r="AY1873" i="1"/>
  <c r="AW1874" i="1"/>
  <c r="AX1874" i="1"/>
  <c r="AY1874" i="1"/>
  <c r="AW1875" i="1"/>
  <c r="AX1875" i="1"/>
  <c r="AY1875" i="1"/>
  <c r="AW1876" i="1"/>
  <c r="AX1876" i="1"/>
  <c r="AY1876" i="1"/>
  <c r="AW1877" i="1"/>
  <c r="AX1877" i="1"/>
  <c r="AY1877" i="1"/>
  <c r="AW1878" i="1"/>
  <c r="AX1878" i="1"/>
  <c r="AY1878" i="1"/>
  <c r="AW1879" i="1"/>
  <c r="AX1879" i="1"/>
  <c r="AY1879" i="1"/>
  <c r="AW1880" i="1"/>
  <c r="AX1880" i="1"/>
  <c r="AY1880" i="1"/>
  <c r="AW1881" i="1"/>
  <c r="AX1881" i="1"/>
  <c r="AY1881" i="1"/>
  <c r="AW1882" i="1"/>
  <c r="AX1882" i="1"/>
  <c r="AY1882" i="1"/>
  <c r="AW1883" i="1"/>
  <c r="AX1883" i="1"/>
  <c r="AY1883" i="1"/>
  <c r="AW1884" i="1"/>
  <c r="AX1884" i="1"/>
  <c r="AY1884" i="1"/>
  <c r="AW1885" i="1"/>
  <c r="AX1885" i="1"/>
  <c r="AY1885" i="1"/>
  <c r="AW1886" i="1"/>
  <c r="AX1886" i="1"/>
  <c r="AY1886" i="1"/>
  <c r="AW1887" i="1"/>
  <c r="AX1887" i="1"/>
  <c r="AY1887" i="1"/>
  <c r="AW1888" i="1"/>
  <c r="AX1888" i="1"/>
  <c r="AY1888" i="1"/>
  <c r="AW1889" i="1"/>
  <c r="AX1889" i="1"/>
  <c r="AY1889" i="1"/>
  <c r="AW1890" i="1"/>
  <c r="AX1890" i="1"/>
  <c r="AY1890" i="1"/>
  <c r="AW1891" i="1"/>
  <c r="AX1891" i="1"/>
  <c r="AY1891" i="1"/>
  <c r="AW1892" i="1"/>
  <c r="AX1892" i="1"/>
  <c r="AY1892" i="1"/>
  <c r="AW1893" i="1"/>
  <c r="AX1893" i="1"/>
  <c r="AY1893" i="1"/>
  <c r="AW1894" i="1"/>
  <c r="AX1894" i="1"/>
  <c r="AY1894" i="1"/>
  <c r="AW1895" i="1"/>
  <c r="AX1895" i="1"/>
  <c r="AY1895" i="1"/>
  <c r="AW1896" i="1"/>
  <c r="AX1896" i="1"/>
  <c r="AY1896" i="1"/>
  <c r="AW1897" i="1"/>
  <c r="AX1897" i="1"/>
  <c r="AY1897" i="1"/>
  <c r="AW1898" i="1"/>
  <c r="AX1898" i="1"/>
  <c r="AY1898" i="1"/>
  <c r="AW1899" i="1"/>
  <c r="AX1899" i="1"/>
  <c r="AY1899" i="1"/>
  <c r="AW1900" i="1"/>
  <c r="AX1900" i="1"/>
  <c r="AY1900" i="1"/>
  <c r="AW1901" i="1"/>
  <c r="AX1901" i="1"/>
  <c r="AY1901" i="1"/>
  <c r="AW1902" i="1"/>
  <c r="AX1902" i="1"/>
  <c r="AY1902" i="1"/>
  <c r="AW1903" i="1"/>
  <c r="AX1903" i="1"/>
  <c r="AY1903" i="1"/>
  <c r="AW1904" i="1"/>
  <c r="AX1904" i="1"/>
  <c r="AY1904" i="1"/>
  <c r="AW1905" i="1"/>
  <c r="AX1905" i="1"/>
  <c r="AY1905" i="1"/>
  <c r="AW1906" i="1"/>
  <c r="AX1906" i="1"/>
  <c r="AY1906" i="1"/>
  <c r="AW1907" i="1"/>
  <c r="AX1907" i="1"/>
  <c r="AY1907" i="1"/>
  <c r="AW1908" i="1"/>
  <c r="AX1908" i="1"/>
  <c r="AY1908" i="1"/>
  <c r="AW1909" i="1"/>
  <c r="AX1909" i="1"/>
  <c r="AY1909" i="1"/>
  <c r="AW1910" i="1"/>
  <c r="AX1910" i="1"/>
  <c r="AY1910" i="1"/>
  <c r="AW1911" i="1"/>
  <c r="AX1911" i="1"/>
  <c r="AY1911" i="1"/>
  <c r="AW1912" i="1"/>
  <c r="AX1912" i="1"/>
  <c r="AY1912" i="1"/>
  <c r="AW1913" i="1"/>
  <c r="AX1913" i="1"/>
  <c r="AY1913" i="1"/>
  <c r="AW1914" i="1"/>
  <c r="AX1914" i="1"/>
  <c r="AY1914" i="1"/>
  <c r="AW1915" i="1"/>
  <c r="AX1915" i="1"/>
  <c r="AY1915" i="1"/>
  <c r="AW1916" i="1"/>
  <c r="AX1916" i="1"/>
  <c r="AY1916" i="1"/>
  <c r="AW1917" i="1"/>
  <c r="AX1917" i="1"/>
  <c r="AY1917" i="1"/>
  <c r="AW1918" i="1"/>
  <c r="AX1918" i="1"/>
  <c r="AY1918" i="1"/>
  <c r="AW1919" i="1"/>
  <c r="AX1919" i="1"/>
  <c r="AY1919" i="1"/>
  <c r="AW1920" i="1"/>
  <c r="AX1920" i="1"/>
  <c r="AY1920" i="1"/>
  <c r="AW1921" i="1"/>
  <c r="AX1921" i="1"/>
  <c r="AY1921" i="1"/>
  <c r="AW1922" i="1"/>
  <c r="AX1922" i="1"/>
  <c r="AY1922" i="1"/>
  <c r="AW1923" i="1"/>
  <c r="AX1923" i="1"/>
  <c r="AY1923" i="1"/>
  <c r="AW1924" i="1"/>
  <c r="AX1924" i="1"/>
  <c r="AY1924" i="1"/>
  <c r="AW1925" i="1"/>
  <c r="AX1925" i="1"/>
  <c r="AY1925" i="1"/>
  <c r="AW1926" i="1"/>
  <c r="AX1926" i="1"/>
  <c r="AY1926" i="1"/>
  <c r="AW1927" i="1"/>
  <c r="AX1927" i="1"/>
  <c r="AY1927" i="1"/>
  <c r="AW1928" i="1"/>
  <c r="AX1928" i="1"/>
  <c r="AY1928" i="1"/>
  <c r="AW1929" i="1"/>
  <c r="AX1929" i="1"/>
  <c r="AY1929" i="1"/>
  <c r="AW1930" i="1"/>
  <c r="AX1930" i="1"/>
  <c r="AY1930" i="1"/>
  <c r="AW1931" i="1"/>
  <c r="AX1931" i="1"/>
  <c r="AY1931" i="1"/>
  <c r="AW1932" i="1"/>
  <c r="AX1932" i="1"/>
  <c r="AY1932" i="1"/>
  <c r="AW1933" i="1"/>
  <c r="AX1933" i="1"/>
  <c r="AY1933" i="1"/>
  <c r="AW1934" i="1"/>
  <c r="AX1934" i="1"/>
  <c r="AY1934" i="1"/>
  <c r="AW1935" i="1"/>
  <c r="AX1935" i="1"/>
  <c r="AY1935" i="1"/>
  <c r="AW1936" i="1"/>
  <c r="AX1936" i="1"/>
  <c r="AY1936" i="1"/>
  <c r="AW1937" i="1"/>
  <c r="AX1937" i="1"/>
  <c r="AY1937" i="1"/>
  <c r="AW1938" i="1"/>
  <c r="AX1938" i="1"/>
  <c r="AY1938" i="1"/>
  <c r="AW1939" i="1"/>
  <c r="AX1939" i="1"/>
  <c r="AY1939" i="1"/>
  <c r="AW1940" i="1"/>
  <c r="AX1940" i="1"/>
  <c r="AY1940" i="1"/>
  <c r="AW1941" i="1"/>
  <c r="AX1941" i="1"/>
  <c r="AY1941" i="1"/>
  <c r="AW1942" i="1"/>
  <c r="AX1942" i="1"/>
  <c r="AY1942" i="1"/>
  <c r="AW1943" i="1"/>
  <c r="AX1943" i="1"/>
  <c r="AY1943" i="1"/>
  <c r="AW1944" i="1"/>
  <c r="AX1944" i="1"/>
  <c r="AY1944" i="1"/>
  <c r="AW1945" i="1"/>
  <c r="AX1945" i="1"/>
  <c r="AY1945" i="1"/>
  <c r="AW1946" i="1"/>
  <c r="AX1946" i="1"/>
  <c r="AY1946" i="1"/>
  <c r="AW1947" i="1"/>
  <c r="AX1947" i="1"/>
  <c r="AY1947" i="1"/>
  <c r="AW1948" i="1"/>
  <c r="AX1948" i="1"/>
  <c r="AY1948" i="1"/>
  <c r="AW1949" i="1"/>
  <c r="AX1949" i="1"/>
  <c r="AY1949" i="1"/>
  <c r="AW1950" i="1"/>
  <c r="AX1950" i="1"/>
  <c r="AY1950" i="1"/>
  <c r="AW1951" i="1"/>
  <c r="AX1951" i="1"/>
  <c r="AY1951" i="1"/>
  <c r="AW1952" i="1"/>
  <c r="AX1952" i="1"/>
  <c r="AY1952" i="1"/>
  <c r="AW1953" i="1"/>
  <c r="AX1953" i="1"/>
  <c r="AY1953" i="1"/>
  <c r="AW1954" i="1"/>
  <c r="AX1954" i="1"/>
  <c r="AY1954" i="1"/>
  <c r="AW1955" i="1"/>
  <c r="AX1955" i="1"/>
  <c r="AY1955" i="1"/>
  <c r="AW1956" i="1"/>
  <c r="AX1956" i="1"/>
  <c r="AY1956" i="1"/>
  <c r="AW1957" i="1"/>
  <c r="AX1957" i="1"/>
  <c r="AY1957" i="1"/>
  <c r="AW1958" i="1"/>
  <c r="AX1958" i="1"/>
  <c r="AY1958" i="1"/>
  <c r="AW1959" i="1"/>
  <c r="AX1959" i="1"/>
  <c r="AY1959" i="1"/>
  <c r="AW1960" i="1"/>
  <c r="AX1960" i="1"/>
  <c r="AY1960" i="1"/>
  <c r="AW1961" i="1"/>
  <c r="AX1961" i="1"/>
  <c r="AY1961" i="1"/>
  <c r="AW1962" i="1"/>
  <c r="AX1962" i="1"/>
  <c r="AY1962" i="1"/>
  <c r="AW1963" i="1"/>
  <c r="AX1963" i="1"/>
  <c r="AY1963" i="1"/>
  <c r="AW1964" i="1"/>
  <c r="AX1964" i="1"/>
  <c r="AY1964" i="1"/>
  <c r="AW1965" i="1"/>
  <c r="AX1965" i="1"/>
  <c r="AY1965" i="1"/>
  <c r="AW1966" i="1"/>
  <c r="AX1966" i="1"/>
  <c r="AY1966" i="1"/>
  <c r="AW1967" i="1"/>
  <c r="AX1967" i="1"/>
  <c r="AY1967" i="1"/>
  <c r="AW1968" i="1"/>
  <c r="AX1968" i="1"/>
  <c r="AY1968" i="1"/>
  <c r="AW1969" i="1"/>
  <c r="AX1969" i="1"/>
  <c r="AY1969" i="1"/>
  <c r="AW1970" i="1"/>
  <c r="AX1970" i="1"/>
  <c r="AY1970" i="1"/>
  <c r="AW1971" i="1"/>
  <c r="AX1971" i="1"/>
  <c r="AY1971" i="1"/>
  <c r="AW1972" i="1"/>
  <c r="AX1972" i="1"/>
  <c r="AY1972" i="1"/>
  <c r="AW1973" i="1"/>
  <c r="AX1973" i="1"/>
  <c r="AY1973" i="1"/>
  <c r="AW1974" i="1"/>
  <c r="AX1974" i="1"/>
  <c r="AY1974" i="1"/>
  <c r="AW1975" i="1"/>
  <c r="AX1975" i="1"/>
  <c r="AY1975" i="1"/>
  <c r="AW1976" i="1"/>
  <c r="AX1976" i="1"/>
  <c r="AY1976" i="1"/>
  <c r="AW1977" i="1"/>
  <c r="AX1977" i="1"/>
  <c r="AY1977" i="1"/>
  <c r="AW1978" i="1"/>
  <c r="AX1978" i="1"/>
  <c r="AY1978" i="1"/>
  <c r="AW1979" i="1"/>
  <c r="AX1979" i="1"/>
  <c r="AY1979" i="1"/>
  <c r="AW1980" i="1"/>
  <c r="AX1980" i="1"/>
  <c r="AY1980" i="1"/>
  <c r="AW1981" i="1"/>
  <c r="AX1981" i="1"/>
  <c r="AY1981" i="1"/>
  <c r="AW1982" i="1"/>
  <c r="AX1982" i="1"/>
  <c r="AY1982" i="1"/>
  <c r="AW1983" i="1"/>
  <c r="AX1983" i="1"/>
  <c r="AY1983" i="1"/>
  <c r="AW1984" i="1"/>
  <c r="AX1984" i="1"/>
  <c r="AY1984" i="1"/>
  <c r="AW1985" i="1"/>
  <c r="AX1985" i="1"/>
  <c r="AY1985" i="1"/>
  <c r="AW1986" i="1"/>
  <c r="AX1986" i="1"/>
  <c r="AY1986" i="1"/>
  <c r="AW1987" i="1"/>
  <c r="AX1987" i="1"/>
  <c r="AY1987" i="1"/>
  <c r="AW1988" i="1"/>
  <c r="AX1988" i="1"/>
  <c r="AY1988" i="1"/>
  <c r="AW1989" i="1"/>
  <c r="AX1989" i="1"/>
  <c r="AY1989" i="1"/>
  <c r="AW1990" i="1"/>
  <c r="AX1990" i="1"/>
  <c r="AY1990" i="1"/>
  <c r="AW1991" i="1"/>
  <c r="AX1991" i="1"/>
  <c r="AY1991" i="1"/>
  <c r="AW1992" i="1"/>
  <c r="AX1992" i="1"/>
  <c r="AY1992" i="1"/>
  <c r="AW1993" i="1"/>
  <c r="AX1993" i="1"/>
  <c r="AY1993" i="1"/>
  <c r="AW1994" i="1"/>
  <c r="AX1994" i="1"/>
  <c r="AY1994" i="1"/>
  <c r="AW1995" i="1"/>
  <c r="AX1995" i="1"/>
  <c r="AY1995" i="1"/>
  <c r="AW1996" i="1"/>
  <c r="AX1996" i="1"/>
  <c r="AY1996" i="1"/>
  <c r="AW1997" i="1"/>
  <c r="AX1997" i="1"/>
  <c r="AY1997" i="1"/>
  <c r="AW1998" i="1"/>
  <c r="AX1998" i="1"/>
  <c r="AY1998" i="1"/>
  <c r="AW1999" i="1"/>
  <c r="AX1999" i="1"/>
  <c r="AY1999" i="1"/>
  <c r="AW2000" i="1"/>
  <c r="AX2000" i="1"/>
  <c r="AY2000" i="1"/>
  <c r="AW2001" i="1"/>
  <c r="AX2001" i="1"/>
  <c r="AY2001" i="1"/>
  <c r="AW2002" i="1"/>
  <c r="AX2002" i="1"/>
  <c r="AY2002" i="1"/>
  <c r="AW2003" i="1"/>
  <c r="AX2003" i="1"/>
  <c r="AY2003" i="1"/>
  <c r="AW2004" i="1"/>
  <c r="AX2004" i="1"/>
  <c r="AY2004" i="1"/>
  <c r="AW2005" i="1"/>
  <c r="AX2005" i="1"/>
  <c r="AY2005" i="1"/>
  <c r="AW2006" i="1"/>
  <c r="AX2006" i="1"/>
  <c r="AY2006" i="1"/>
  <c r="AW2007" i="1"/>
  <c r="AX2007" i="1"/>
  <c r="AY2007" i="1"/>
  <c r="AW2008" i="1"/>
  <c r="AX2008" i="1"/>
  <c r="AY2008" i="1"/>
  <c r="AW2009" i="1"/>
  <c r="AX2009" i="1"/>
  <c r="AY2009" i="1"/>
  <c r="AW2010" i="1"/>
  <c r="AX2010" i="1"/>
  <c r="AY2010" i="1"/>
  <c r="AW2011" i="1"/>
  <c r="AX2011" i="1"/>
  <c r="AY2011" i="1"/>
  <c r="AW2012" i="1"/>
  <c r="AX2012" i="1"/>
  <c r="AY2012" i="1"/>
  <c r="AW2013" i="1"/>
  <c r="AX2013" i="1"/>
  <c r="AY2013" i="1"/>
  <c r="AW2014" i="1"/>
  <c r="AX2014" i="1"/>
  <c r="AY2014" i="1"/>
  <c r="AW2015" i="1"/>
  <c r="AX2015" i="1"/>
  <c r="AY2015" i="1"/>
  <c r="AW2016" i="1"/>
  <c r="AX2016" i="1"/>
  <c r="AY2016" i="1"/>
  <c r="AW2017" i="1"/>
  <c r="AX2017" i="1"/>
  <c r="AY2017" i="1"/>
  <c r="AW2018" i="1"/>
  <c r="AX2018" i="1"/>
  <c r="AY2018" i="1"/>
  <c r="AW2019" i="1"/>
  <c r="AX2019" i="1"/>
  <c r="AY2019" i="1"/>
  <c r="AW2020" i="1"/>
  <c r="AX2020" i="1"/>
  <c r="AY2020" i="1"/>
  <c r="AW2021" i="1"/>
  <c r="AX2021" i="1"/>
  <c r="AY2021" i="1"/>
  <c r="AW2022" i="1"/>
  <c r="AX2022" i="1"/>
  <c r="AY2022" i="1"/>
  <c r="AW2023" i="1"/>
  <c r="AX2023" i="1"/>
  <c r="AY2023" i="1"/>
  <c r="AW2024" i="1"/>
  <c r="AX2024" i="1"/>
  <c r="AY2024" i="1"/>
  <c r="AW2025" i="1"/>
  <c r="AX2025" i="1"/>
  <c r="AY2025" i="1"/>
  <c r="AW2026" i="1"/>
  <c r="AX2026" i="1"/>
  <c r="AY2026" i="1"/>
  <c r="AW2027" i="1"/>
  <c r="AX2027" i="1"/>
  <c r="AY2027" i="1"/>
  <c r="AW2028" i="1"/>
  <c r="AX2028" i="1"/>
  <c r="AY2028" i="1"/>
  <c r="AW2029" i="1"/>
  <c r="AX2029" i="1"/>
  <c r="AY2029" i="1"/>
  <c r="AW2030" i="1"/>
  <c r="AX2030" i="1"/>
  <c r="AY2030" i="1"/>
  <c r="B26" i="10" l="1"/>
  <c r="C26" i="10"/>
  <c r="D26" i="10"/>
  <c r="L1" i="10"/>
  <c r="K1" i="10"/>
  <c r="I1" i="10"/>
  <c r="H1" i="10"/>
  <c r="G1" i="10"/>
  <c r="F1" i="10"/>
  <c r="E1" i="10"/>
  <c r="D1" i="10"/>
  <c r="C1" i="10"/>
  <c r="B1" i="10"/>
  <c r="F11" i="13"/>
  <c r="F3" i="10" s="1"/>
  <c r="C28" i="10" s="1"/>
  <c r="F12" i="13"/>
  <c r="F4" i="10" s="1"/>
  <c r="C29" i="10" s="1"/>
  <c r="F13" i="13"/>
  <c r="F5" i="10" s="1"/>
  <c r="C30" i="10" s="1"/>
  <c r="F14" i="13"/>
  <c r="F6" i="10" s="1"/>
  <c r="C31" i="10" s="1"/>
  <c r="F15" i="13"/>
  <c r="F7" i="10" s="1"/>
  <c r="C32" i="10" s="1"/>
  <c r="F16" i="13"/>
  <c r="F8" i="10" s="1"/>
  <c r="C33" i="10" s="1"/>
  <c r="F17" i="13"/>
  <c r="F9" i="10" s="1"/>
  <c r="C34" i="10" s="1"/>
  <c r="E11" i="13"/>
  <c r="E3" i="10" s="1"/>
  <c r="B28" i="10" s="1"/>
  <c r="E12" i="13"/>
  <c r="E4" i="10" s="1"/>
  <c r="B29" i="10" s="1"/>
  <c r="E13" i="13"/>
  <c r="E5" i="10" s="1"/>
  <c r="B30" i="10" s="1"/>
  <c r="E14" i="13"/>
  <c r="E6" i="10" s="1"/>
  <c r="B31" i="10" s="1"/>
  <c r="E15" i="13"/>
  <c r="E7" i="10" s="1"/>
  <c r="B32" i="10" s="1"/>
  <c r="E16" i="13"/>
  <c r="E8" i="10" s="1"/>
  <c r="B33" i="10" s="1"/>
  <c r="E17" i="13"/>
  <c r="E9" i="10" s="1"/>
  <c r="B34" i="10" s="1"/>
  <c r="D11" i="13"/>
  <c r="D3" i="10" s="1"/>
  <c r="D28" i="10" s="1"/>
  <c r="D12" i="13"/>
  <c r="D4" i="10" s="1"/>
  <c r="D29" i="10" s="1"/>
  <c r="D13" i="13"/>
  <c r="D5" i="10" s="1"/>
  <c r="D30" i="10" s="1"/>
  <c r="D14" i="13"/>
  <c r="D6" i="10" s="1"/>
  <c r="D31" i="10" s="1"/>
  <c r="D15" i="13"/>
  <c r="D7" i="10" s="1"/>
  <c r="D32" i="10" s="1"/>
  <c r="D16" i="13"/>
  <c r="D8" i="10" s="1"/>
  <c r="D33" i="10" s="1"/>
  <c r="D17" i="13"/>
  <c r="D9" i="10" s="1"/>
  <c r="D34" i="10" s="1"/>
  <c r="C11" i="13"/>
  <c r="C3" i="10" s="1"/>
  <c r="C12" i="13"/>
  <c r="C4" i="10" s="1"/>
  <c r="C13" i="13"/>
  <c r="C5" i="10" s="1"/>
  <c r="C14" i="13"/>
  <c r="C6" i="10" s="1"/>
  <c r="C15" i="13"/>
  <c r="C7" i="10" s="1"/>
  <c r="C16" i="13"/>
  <c r="C8" i="10" s="1"/>
  <c r="C17" i="13"/>
  <c r="C9" i="10" s="1"/>
  <c r="K11" i="13"/>
  <c r="K3" i="10" s="1"/>
  <c r="K12" i="13"/>
  <c r="K4" i="10" s="1"/>
  <c r="K13" i="13"/>
  <c r="K5" i="10" s="1"/>
  <c r="K14" i="13"/>
  <c r="K6" i="10" s="1"/>
  <c r="K15" i="13"/>
  <c r="K7" i="10" s="1"/>
  <c r="K16" i="13"/>
  <c r="K8" i="10" s="1"/>
  <c r="K17" i="13"/>
  <c r="K9" i="10" s="1"/>
  <c r="K10" i="13"/>
  <c r="K2" i="10" s="1"/>
  <c r="H11" i="13"/>
  <c r="H3" i="10" s="1"/>
  <c r="H12" i="13"/>
  <c r="H4" i="10" s="1"/>
  <c r="H13" i="13"/>
  <c r="H5" i="10" s="1"/>
  <c r="H14" i="13"/>
  <c r="H6" i="10" s="1"/>
  <c r="H15" i="13"/>
  <c r="H7" i="10" s="1"/>
  <c r="H16" i="13"/>
  <c r="H8" i="10" s="1"/>
  <c r="H17" i="13"/>
  <c r="H9" i="10" s="1"/>
  <c r="H10" i="13"/>
  <c r="H2" i="10" s="1"/>
  <c r="D10" i="13"/>
  <c r="D2" i="10" s="1"/>
  <c r="D27" i="10" s="1"/>
  <c r="C10" i="13"/>
  <c r="C2" i="10" s="1"/>
  <c r="B11" i="13"/>
  <c r="B3" i="10" s="1"/>
  <c r="B12" i="13"/>
  <c r="B13" i="13"/>
  <c r="B5" i="10" s="1"/>
  <c r="B14" i="13"/>
  <c r="B6" i="10" s="1"/>
  <c r="B15" i="13"/>
  <c r="B7" i="10" s="1"/>
  <c r="B16" i="13"/>
  <c r="B17" i="13"/>
  <c r="B9" i="10" s="1"/>
  <c r="B10" i="13"/>
  <c r="B2" i="10" s="1"/>
  <c r="E10" i="13"/>
  <c r="E2" i="10" s="1"/>
  <c r="B27" i="10" s="1"/>
  <c r="F10" i="13"/>
  <c r="F2" i="10" s="1"/>
  <c r="C27" i="10" s="1"/>
  <c r="B8" i="10" l="1"/>
  <c r="B4" i="10"/>
  <c r="K18" i="13"/>
  <c r="K10" i="10" s="1"/>
  <c r="B18" i="13"/>
  <c r="B10" i="10" s="1"/>
  <c r="C18" i="13"/>
  <c r="C10" i="10" s="1"/>
  <c r="D18" i="13"/>
  <c r="D10" i="10" s="1"/>
  <c r="H18" i="13"/>
  <c r="H10" i="10" s="1"/>
  <c r="E18" i="13"/>
  <c r="E10" i="10" s="1"/>
  <c r="F18" i="13"/>
  <c r="F10" i="10" s="1"/>
  <c r="C86" i="10" l="1"/>
  <c r="C88" i="10"/>
  <c r="B58" i="13" l="1"/>
  <c r="C58" i="13" s="1"/>
  <c r="K37" i="13"/>
  <c r="K38" i="13"/>
  <c r="K39" i="13"/>
  <c r="K40" i="13"/>
  <c r="K41" i="13"/>
  <c r="K42" i="13"/>
  <c r="K43" i="13"/>
  <c r="K36" i="13"/>
  <c r="J36" i="13"/>
  <c r="K44" i="13" l="1"/>
  <c r="J1" i="10"/>
  <c r="M1" i="10"/>
  <c r="A10" i="10"/>
  <c r="A3" i="10"/>
  <c r="A4" i="10"/>
  <c r="A5" i="10"/>
  <c r="A6" i="10"/>
  <c r="A7" i="10"/>
  <c r="A8" i="10"/>
  <c r="A9" i="10"/>
  <c r="A2" i="10"/>
  <c r="A1" i="10"/>
  <c r="B57" i="13" l="1"/>
  <c r="C57" i="13" s="1"/>
  <c r="B56" i="13"/>
  <c r="J37" i="13" l="1"/>
  <c r="J38" i="13"/>
  <c r="J39" i="13"/>
  <c r="J40" i="13"/>
  <c r="J41" i="13"/>
  <c r="J42" i="13"/>
  <c r="J43" i="13"/>
  <c r="J44" i="13" l="1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63" i="13"/>
  <c r="D101" i="13" l="1"/>
  <c r="C101" i="13"/>
  <c r="I43" i="13"/>
  <c r="H43" i="13"/>
  <c r="G43" i="13"/>
  <c r="F43" i="13"/>
  <c r="E43" i="13"/>
  <c r="D43" i="13"/>
  <c r="C43" i="13"/>
  <c r="B43" i="13"/>
  <c r="I42" i="13"/>
  <c r="H42" i="13"/>
  <c r="G42" i="13"/>
  <c r="F42" i="13"/>
  <c r="E42" i="13"/>
  <c r="D42" i="13"/>
  <c r="C42" i="13"/>
  <c r="B42" i="13"/>
  <c r="I41" i="13"/>
  <c r="H41" i="13"/>
  <c r="G41" i="13"/>
  <c r="F41" i="13"/>
  <c r="E41" i="13"/>
  <c r="D41" i="13"/>
  <c r="C41" i="13"/>
  <c r="B41" i="13"/>
  <c r="I40" i="13"/>
  <c r="H40" i="13"/>
  <c r="G40" i="13"/>
  <c r="F40" i="13"/>
  <c r="E40" i="13"/>
  <c r="D40" i="13"/>
  <c r="C40" i="13"/>
  <c r="B40" i="13"/>
  <c r="I39" i="13"/>
  <c r="H39" i="13"/>
  <c r="G39" i="13"/>
  <c r="F39" i="13"/>
  <c r="E39" i="13"/>
  <c r="D39" i="13"/>
  <c r="C39" i="13"/>
  <c r="B39" i="13"/>
  <c r="I38" i="13"/>
  <c r="H38" i="13"/>
  <c r="G38" i="13"/>
  <c r="F38" i="13"/>
  <c r="E38" i="13"/>
  <c r="D38" i="13"/>
  <c r="C38" i="13"/>
  <c r="B38" i="13"/>
  <c r="I37" i="13"/>
  <c r="H37" i="13"/>
  <c r="G37" i="13"/>
  <c r="F37" i="13"/>
  <c r="E37" i="13"/>
  <c r="D37" i="13"/>
  <c r="C37" i="13"/>
  <c r="B37" i="13"/>
  <c r="I36" i="13"/>
  <c r="I44" i="13" s="1"/>
  <c r="H36" i="13"/>
  <c r="H44" i="13" s="1"/>
  <c r="G36" i="13"/>
  <c r="G44" i="13" s="1"/>
  <c r="F36" i="13"/>
  <c r="F44" i="13" s="1"/>
  <c r="E36" i="13"/>
  <c r="D36" i="13"/>
  <c r="C36" i="13"/>
  <c r="B36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L17" i="13"/>
  <c r="L9" i="10" s="1"/>
  <c r="J17" i="13"/>
  <c r="J9" i="10" s="1"/>
  <c r="I17" i="13"/>
  <c r="I9" i="10" s="1"/>
  <c r="G17" i="13"/>
  <c r="L16" i="13"/>
  <c r="L8" i="10" s="1"/>
  <c r="J16" i="13"/>
  <c r="J8" i="10" s="1"/>
  <c r="I16" i="13"/>
  <c r="I8" i="10" s="1"/>
  <c r="G16" i="13"/>
  <c r="L15" i="13"/>
  <c r="L7" i="10" s="1"/>
  <c r="J15" i="13"/>
  <c r="J7" i="10" s="1"/>
  <c r="I15" i="13"/>
  <c r="I7" i="10" s="1"/>
  <c r="G15" i="13"/>
  <c r="L14" i="13"/>
  <c r="L6" i="10" s="1"/>
  <c r="J14" i="13"/>
  <c r="J6" i="10" s="1"/>
  <c r="I14" i="13"/>
  <c r="I6" i="10" s="1"/>
  <c r="G14" i="13"/>
  <c r="L13" i="13"/>
  <c r="L5" i="10" s="1"/>
  <c r="J13" i="13"/>
  <c r="J5" i="10" s="1"/>
  <c r="I13" i="13"/>
  <c r="I5" i="10" s="1"/>
  <c r="G13" i="13"/>
  <c r="L12" i="13"/>
  <c r="L4" i="10" s="1"/>
  <c r="J12" i="13"/>
  <c r="J4" i="10" s="1"/>
  <c r="I12" i="13"/>
  <c r="I4" i="10" s="1"/>
  <c r="G12" i="13"/>
  <c r="L11" i="13"/>
  <c r="L3" i="10" s="1"/>
  <c r="J11" i="13"/>
  <c r="J3" i="10" s="1"/>
  <c r="I11" i="13"/>
  <c r="I3" i="10" s="1"/>
  <c r="G11" i="13"/>
  <c r="L10" i="13"/>
  <c r="L2" i="10" s="1"/>
  <c r="J10" i="13"/>
  <c r="J2" i="10" s="1"/>
  <c r="I10" i="13"/>
  <c r="I2" i="10" s="1"/>
  <c r="G10" i="13"/>
  <c r="C56" i="13"/>
  <c r="B55" i="13"/>
  <c r="C55" i="13" s="1"/>
  <c r="B54" i="13"/>
  <c r="C54" i="13" s="1"/>
  <c r="B53" i="13"/>
  <c r="C53" i="13" s="1"/>
  <c r="B52" i="13"/>
  <c r="C52" i="13" s="1"/>
  <c r="B5" i="13"/>
  <c r="B51" i="13"/>
  <c r="C51" i="13" s="1"/>
  <c r="B4" i="13"/>
  <c r="B50" i="13"/>
  <c r="C50" i="13" s="1"/>
  <c r="B3" i="13"/>
  <c r="B49" i="13"/>
  <c r="B59" i="13" l="1"/>
  <c r="G2" i="10"/>
  <c r="E27" i="10" s="1"/>
  <c r="M10" i="13"/>
  <c r="M2" i="10" s="1"/>
  <c r="G3" i="10"/>
  <c r="E28" i="10" s="1"/>
  <c r="M11" i="13"/>
  <c r="G4" i="10"/>
  <c r="E29" i="10" s="1"/>
  <c r="M12" i="13"/>
  <c r="M4" i="10" s="1"/>
  <c r="G5" i="10"/>
  <c r="E30" i="10" s="1"/>
  <c r="M13" i="13"/>
  <c r="G6" i="10"/>
  <c r="E31" i="10" s="1"/>
  <c r="M14" i="13"/>
  <c r="M6" i="10" s="1"/>
  <c r="G7" i="10"/>
  <c r="E32" i="10" s="1"/>
  <c r="M15" i="13"/>
  <c r="G8" i="10"/>
  <c r="E33" i="10" s="1"/>
  <c r="M16" i="13"/>
  <c r="M8" i="10" s="1"/>
  <c r="G9" i="10"/>
  <c r="E34" i="10" s="1"/>
  <c r="M17" i="13"/>
  <c r="L36" i="13"/>
  <c r="L37" i="13"/>
  <c r="L38" i="13"/>
  <c r="L39" i="13"/>
  <c r="L40" i="13"/>
  <c r="L41" i="13"/>
  <c r="L42" i="13"/>
  <c r="L43" i="13"/>
  <c r="E44" i="13"/>
  <c r="D44" i="13"/>
  <c r="B44" i="13"/>
  <c r="S31" i="13"/>
  <c r="H31" i="13"/>
  <c r="P31" i="13"/>
  <c r="C44" i="13"/>
  <c r="I18" i="13"/>
  <c r="I10" i="10" s="1"/>
  <c r="I31" i="13"/>
  <c r="Q31" i="13"/>
  <c r="T30" i="13"/>
  <c r="J18" i="13"/>
  <c r="J10" i="10" s="1"/>
  <c r="T23" i="13"/>
  <c r="J31" i="13"/>
  <c r="R31" i="13"/>
  <c r="T27" i="13"/>
  <c r="C31" i="13"/>
  <c r="K31" i="13"/>
  <c r="L18" i="13"/>
  <c r="L10" i="10" s="1"/>
  <c r="D31" i="13"/>
  <c r="L31" i="13"/>
  <c r="T24" i="13"/>
  <c r="T28" i="13"/>
  <c r="E31" i="13"/>
  <c r="M31" i="13"/>
  <c r="G18" i="13"/>
  <c r="G10" i="10" s="1"/>
  <c r="F31" i="13"/>
  <c r="N31" i="13"/>
  <c r="T25" i="13"/>
  <c r="T29" i="13"/>
  <c r="G31" i="13"/>
  <c r="O31" i="13"/>
  <c r="T26" i="13"/>
  <c r="M3" i="10"/>
  <c r="M7" i="10"/>
  <c r="C49" i="13"/>
  <c r="M9" i="10"/>
  <c r="B31" i="13"/>
  <c r="M5" i="10"/>
  <c r="C87" i="10" l="1"/>
  <c r="C59" i="13"/>
  <c r="D58" i="13" s="1"/>
  <c r="O14" i="13"/>
  <c r="L44" i="13"/>
  <c r="T31" i="13"/>
  <c r="O18" i="13"/>
  <c r="O13" i="13"/>
  <c r="O10" i="13"/>
  <c r="O15" i="13"/>
  <c r="O12" i="13"/>
  <c r="O11" i="13"/>
  <c r="O17" i="13"/>
  <c r="O16" i="13"/>
  <c r="M18" i="13"/>
  <c r="M10" i="10" s="1"/>
  <c r="I11" i="10" s="1"/>
  <c r="A27" i="10"/>
  <c r="A28" i="10"/>
  <c r="A29" i="10"/>
  <c r="A30" i="10"/>
  <c r="A31" i="10"/>
  <c r="A32" i="10"/>
  <c r="A33" i="10"/>
  <c r="A34" i="10"/>
  <c r="A26" i="10"/>
  <c r="G11" i="10" l="1"/>
  <c r="L11" i="10"/>
  <c r="J11" i="10"/>
  <c r="H11" i="10"/>
  <c r="C11" i="10"/>
  <c r="E11" i="10"/>
  <c r="B11" i="10"/>
  <c r="D11" i="10"/>
  <c r="K11" i="10"/>
  <c r="F11" i="10"/>
  <c r="D49" i="13"/>
  <c r="D57" i="13"/>
  <c r="P13" i="13"/>
  <c r="P16" i="13"/>
  <c r="P11" i="13"/>
  <c r="P12" i="13"/>
  <c r="P17" i="13"/>
  <c r="P15" i="13"/>
  <c r="P14" i="13"/>
  <c r="P10" i="13"/>
  <c r="D59" i="13"/>
  <c r="D52" i="13"/>
  <c r="D53" i="13"/>
  <c r="D54" i="13"/>
  <c r="D50" i="13"/>
  <c r="D55" i="13"/>
  <c r="D51" i="13"/>
  <c r="D56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<sst xmlns="http://schemas.openxmlformats.org/spreadsheetml/2006/main" count="8353" uniqueCount="4027">
  <si>
    <t>You can find in the Summary tab the number of returnees breakdown by:</t>
  </si>
  <si>
    <t>Shelter Type</t>
  </si>
  <si>
    <t>Governorate of Last Displacement</t>
  </si>
  <si>
    <t>Period of Former Displacement and Governorate of Return</t>
  </si>
  <si>
    <t>Period of Former Displacement</t>
  </si>
  <si>
    <t>District of Return</t>
  </si>
  <si>
    <t>Dataset</t>
  </si>
  <si>
    <t>The whole dataset is located under RETURNEE DATASET tab</t>
  </si>
  <si>
    <t>Other tabs</t>
  </si>
  <si>
    <t xml:space="preserve">Period of Displacement includes a chart that shows the number of Returnees by Period of Displacement </t>
  </si>
  <si>
    <t>Shelter Type is a breakdown chart  that shows Shelter Type by Governorate of Return</t>
  </si>
  <si>
    <t>Summary</t>
  </si>
  <si>
    <t>#Districts</t>
  </si>
  <si>
    <t>#Locations</t>
  </si>
  <si>
    <t>#RET Households</t>
  </si>
  <si>
    <t>#Individuals</t>
  </si>
  <si>
    <t/>
  </si>
  <si>
    <t>Governorate of Return</t>
  </si>
  <si>
    <t>Habitual Residence (Habitable)</t>
  </si>
  <si>
    <t>Habitual Residence (Uninhabitable)</t>
  </si>
  <si>
    <t>Host Families</t>
  </si>
  <si>
    <t>Hotel/Motel</t>
  </si>
  <si>
    <t>Informal Settlements</t>
  </si>
  <si>
    <t>Religious Building</t>
  </si>
  <si>
    <t>Rented Houses</t>
  </si>
  <si>
    <t>School Building</t>
  </si>
  <si>
    <t>Unfinished/Abandoned building</t>
  </si>
  <si>
    <t>Unknown Shelter Type</t>
  </si>
  <si>
    <t>Total</t>
  </si>
  <si>
    <t>Anbar</t>
  </si>
  <si>
    <t>Baghdad</t>
  </si>
  <si>
    <t>Dahuk</t>
  </si>
  <si>
    <t>Diyala</t>
  </si>
  <si>
    <t>Erbil</t>
  </si>
  <si>
    <t>Kirkuk</t>
  </si>
  <si>
    <t>Ninewa</t>
  </si>
  <si>
    <t>Salah al-Din</t>
  </si>
  <si>
    <t xml:space="preserve">    Total</t>
  </si>
  <si>
    <t xml:space="preserve">Governorate of Last Displacement </t>
  </si>
  <si>
    <t>Babylon</t>
  </si>
  <si>
    <t>Basrah</t>
  </si>
  <si>
    <t>Kerbala</t>
  </si>
  <si>
    <t>Missan</t>
  </si>
  <si>
    <t>Muthanna</t>
  </si>
  <si>
    <t>Najaf</t>
  </si>
  <si>
    <t>Qadissiya</t>
  </si>
  <si>
    <t>Sulaymaniyah</t>
  </si>
  <si>
    <t>Thi-Qar</t>
  </si>
  <si>
    <t>Wassit</t>
  </si>
  <si>
    <t xml:space="preserve">Pre-June 14 </t>
  </si>
  <si>
    <t xml:space="preserve">June-July 14 </t>
  </si>
  <si>
    <t xml:space="preserve">Post September 14 </t>
  </si>
  <si>
    <t xml:space="preserve">Post April 15 </t>
  </si>
  <si>
    <t>Post March 16</t>
  </si>
  <si>
    <t>Post
 October16</t>
  </si>
  <si>
    <t>July 17</t>
  </si>
  <si>
    <t>Jan 19</t>
  </si>
  <si>
    <t>Jan 20</t>
  </si>
  <si>
    <t>Number and % of returnees by Period of Former Displacement</t>
  </si>
  <si>
    <t xml:space="preserve">Period of  Displacement </t>
  </si>
  <si>
    <t xml:space="preserve">Returnees Households </t>
  </si>
  <si>
    <t xml:space="preserve">Returnees Individuals </t>
  </si>
  <si>
    <t>%</t>
  </si>
  <si>
    <t>rank</t>
  </si>
  <si>
    <t>Pre-June14</t>
  </si>
  <si>
    <t>June-July14</t>
  </si>
  <si>
    <t>August14</t>
  </si>
  <si>
    <t>Post September14</t>
  </si>
  <si>
    <t>Post April15</t>
  </si>
  <si>
    <t>Post March 2016</t>
  </si>
  <si>
    <t>Post 17October 2016</t>
  </si>
  <si>
    <t>July 2017</t>
  </si>
  <si>
    <t>January 2019</t>
  </si>
  <si>
    <t>January 2020</t>
  </si>
  <si>
    <t>Number of Returnees by District of Return</t>
  </si>
  <si>
    <t>Households</t>
  </si>
  <si>
    <t>Individuals</t>
  </si>
  <si>
    <t>Al-Ka'im</t>
  </si>
  <si>
    <t>Al-Rutba</t>
  </si>
  <si>
    <t>Ana</t>
  </si>
  <si>
    <t>Falluja</t>
  </si>
  <si>
    <t>Haditha</t>
  </si>
  <si>
    <t>Heet</t>
  </si>
  <si>
    <t>Ramadi</t>
  </si>
  <si>
    <t>Ra'ua</t>
  </si>
  <si>
    <t>Abu Ghraib</t>
  </si>
  <si>
    <t>Kadhimia</t>
  </si>
  <si>
    <t>Mahmoudiya</t>
  </si>
  <si>
    <t>Tarmia</t>
  </si>
  <si>
    <t>Zakho</t>
  </si>
  <si>
    <t>Al-Khalis</t>
  </si>
  <si>
    <t>Al-Muqdadiya</t>
  </si>
  <si>
    <t>Khanaqin</t>
  </si>
  <si>
    <t>Kifri</t>
  </si>
  <si>
    <t>Makhmur</t>
  </si>
  <si>
    <t>Al-Hawiga</t>
  </si>
  <si>
    <t>Dabes</t>
  </si>
  <si>
    <t>Daquq</t>
  </si>
  <si>
    <t>Al-Ba'aj</t>
  </si>
  <si>
    <t>Al-Hamdaniya</t>
  </si>
  <si>
    <t>Al-Shikhan</t>
  </si>
  <si>
    <t>Hatra</t>
  </si>
  <si>
    <t>Mosul</t>
  </si>
  <si>
    <t>Sinjar</t>
  </si>
  <si>
    <t>Telafar</t>
  </si>
  <si>
    <t>Tilkaif</t>
  </si>
  <si>
    <t>Al-Daur</t>
  </si>
  <si>
    <t>Al-Fares</t>
  </si>
  <si>
    <t>Al-Shirqat</t>
  </si>
  <si>
    <t>Baiji</t>
  </si>
  <si>
    <t>Balad</t>
  </si>
  <si>
    <t>Samarra</t>
  </si>
  <si>
    <t>Tikrit</t>
  </si>
  <si>
    <t>Tuz Khurmatu</t>
  </si>
  <si>
    <t>Row Labels</t>
  </si>
  <si>
    <t xml:space="preserve">Sum of Returnees Individuals </t>
  </si>
  <si>
    <t>Sum of %</t>
  </si>
  <si>
    <t>Sum of rank</t>
  </si>
  <si>
    <t>Location of Return</t>
  </si>
  <si>
    <t>Governorate of Last Displacement (Number of Households)</t>
  </si>
  <si>
    <t>Link for Map</t>
  </si>
  <si>
    <t>Place id</t>
  </si>
  <si>
    <t>Governorate</t>
  </si>
  <si>
    <t>District</t>
  </si>
  <si>
    <t>Location name
in English</t>
  </si>
  <si>
    <t xml:space="preserve">Location name
in Arabic </t>
  </si>
  <si>
    <t>Latitude</t>
  </si>
  <si>
    <t>Longitude</t>
  </si>
  <si>
    <t>Habitual residnece (Habitable)</t>
  </si>
  <si>
    <t>Habitual residence (Uninhabitable)</t>
  </si>
  <si>
    <t>Informal settlements</t>
  </si>
  <si>
    <t>Rented houses</t>
  </si>
  <si>
    <t>Unfinished/
Abandoned building</t>
  </si>
  <si>
    <t>Unknown shelter type</t>
  </si>
  <si>
    <t>Pre-June14 Period</t>
  </si>
  <si>
    <t>June-July14 Period</t>
  </si>
  <si>
    <t>August14 Period</t>
  </si>
  <si>
    <t>Post September14 Period</t>
  </si>
  <si>
    <t>Post April15 Period</t>
  </si>
  <si>
    <t>Post Mar16 Period</t>
  </si>
  <si>
    <t>Post 17 October 16 Period</t>
  </si>
  <si>
    <t>Open Street Map</t>
  </si>
  <si>
    <t>Google Map</t>
  </si>
  <si>
    <t>Bing Map</t>
  </si>
  <si>
    <t xml:space="preserve">Al Baghoz village </t>
  </si>
  <si>
    <t>قرية الباغوز</t>
  </si>
  <si>
    <t>Hay Al-Maamon</t>
  </si>
  <si>
    <t>حي المامون</t>
  </si>
  <si>
    <t>Hay Al-Salam</t>
  </si>
  <si>
    <t>حي السلام</t>
  </si>
  <si>
    <t>Al Rumanah Al Sharqiyah</t>
  </si>
  <si>
    <t>حي الرمانة الشرقية</t>
  </si>
  <si>
    <t>Hay 12 Rabee Alawal</t>
  </si>
  <si>
    <t>حي 12ربيع الاول</t>
  </si>
  <si>
    <t>Al Nahda Al-Sharqiyah</t>
  </si>
  <si>
    <t>حي النهضة الشرقية</t>
  </si>
  <si>
    <t>Hay Al Shuhadaa</t>
  </si>
  <si>
    <t>حي الشهداء</t>
  </si>
  <si>
    <t>AI Nahda AI Gharbi</t>
  </si>
  <si>
    <t>حي النهضة الغربية</t>
  </si>
  <si>
    <t>Al Aubaidi Al Qadima</t>
  </si>
  <si>
    <t xml:space="preserve">العبيدي القديمة </t>
  </si>
  <si>
    <t>Al-Rabet</t>
  </si>
  <si>
    <t>قرية الربط</t>
  </si>
  <si>
    <t>Al Zalla</t>
  </si>
  <si>
    <t>قرية الزلة</t>
  </si>
  <si>
    <t>Tiwaan</t>
  </si>
  <si>
    <t>تيوان</t>
  </si>
  <si>
    <t xml:space="preserve">  Hay Alzaytun</t>
  </si>
  <si>
    <t>حي الزيتون</t>
  </si>
  <si>
    <t>AL Qunaytara Village</t>
  </si>
  <si>
    <t>قرية القنيطرة</t>
  </si>
  <si>
    <t>Jreejib Village</t>
  </si>
  <si>
    <t>قرية جريجب</t>
  </si>
  <si>
    <t>Al-Amen</t>
  </si>
  <si>
    <t>حي الامين</t>
  </si>
  <si>
    <t>Hay Al Rashid</t>
  </si>
  <si>
    <t>حي الرشيد</t>
  </si>
  <si>
    <t>Hay Al Sinay</t>
  </si>
  <si>
    <t>حي الصناعي</t>
  </si>
  <si>
    <t>Hay Al-Athar</t>
  </si>
  <si>
    <t>حي الاثار</t>
  </si>
  <si>
    <t>Al Angaa</t>
  </si>
  <si>
    <t>حي العنقاء</t>
  </si>
  <si>
    <t xml:space="preserve">       Hay  Al Forat            </t>
  </si>
  <si>
    <t>حي الفرات</t>
  </si>
  <si>
    <t>Al Ubaydi-3</t>
  </si>
  <si>
    <t>العبيدي-مرحلة ثالثة</t>
  </si>
  <si>
    <t>Sadah</t>
  </si>
  <si>
    <t>قرية سعده</t>
  </si>
  <si>
    <t>Hay Al-Makarim</t>
  </si>
  <si>
    <t>حي المكارم</t>
  </si>
  <si>
    <t>Albu Hardan</t>
  </si>
  <si>
    <t>قرية البوحردان</t>
  </si>
  <si>
    <t>Hay Al Askary</t>
  </si>
  <si>
    <t>حي العسكري</t>
  </si>
  <si>
    <t>AI Ubaydi-4</t>
  </si>
  <si>
    <t>العبيدي-المرحلة الرابعة السمت</t>
  </si>
  <si>
    <t>Swehil Village</t>
  </si>
  <si>
    <t>قرية سويحل</t>
  </si>
  <si>
    <t>Door Al-Sikak</t>
  </si>
  <si>
    <t>حي السكك</t>
  </si>
  <si>
    <t>Hay Al Sham</t>
  </si>
  <si>
    <t>حي الشام ( الجمعية )</t>
  </si>
  <si>
    <t>Hay Al-Farooq</t>
  </si>
  <si>
    <t>حي الفاروق</t>
  </si>
  <si>
    <t>Hay Al-Yarmook</t>
  </si>
  <si>
    <t>حي اليرموك</t>
  </si>
  <si>
    <t>Dghima village</t>
  </si>
  <si>
    <t>قرية دغيمة</t>
  </si>
  <si>
    <t>Hay Ghaza</t>
  </si>
  <si>
    <t>حي غزه</t>
  </si>
  <si>
    <t>Al Ubaydi-1</t>
  </si>
  <si>
    <t>العبيدي-مرحلة أولى</t>
  </si>
  <si>
    <t>Wazeeriya</t>
  </si>
  <si>
    <t>حي الوزيرية</t>
  </si>
  <si>
    <t>Hay Al-Andalus</t>
  </si>
  <si>
    <t>حي الاندلس</t>
  </si>
  <si>
    <t>Al Ubaydi-2</t>
  </si>
  <si>
    <t xml:space="preserve">مرحلة الثانية </t>
  </si>
  <si>
    <t>Albu Ubaid</t>
  </si>
  <si>
    <t>قرية البوعبيد</t>
  </si>
  <si>
    <t xml:space="preserve">Al Jbariyah village </t>
  </si>
  <si>
    <t xml:space="preserve">قرية الجعبرية </t>
  </si>
  <si>
    <t>Albu Mandeel  Village</t>
  </si>
  <si>
    <t>قرية البو منديل</t>
  </si>
  <si>
    <t>Al Masharea</t>
  </si>
  <si>
    <t>المشاريع</t>
  </si>
  <si>
    <t>AL Fayadhiya Village</t>
  </si>
  <si>
    <t>قرية الفياضية</t>
  </si>
  <si>
    <t>Al Rumanah Al Gharbiyah</t>
  </si>
  <si>
    <t>حي الرمانة الغربية</t>
  </si>
  <si>
    <t>Antesar</t>
  </si>
  <si>
    <t>حي الانتصار</t>
  </si>
  <si>
    <t>Al Wadi</t>
  </si>
  <si>
    <t>حي الوادي</t>
  </si>
  <si>
    <t>Hay Al-Matar</t>
  </si>
  <si>
    <t>حي المطار</t>
  </si>
  <si>
    <t>Al Askaree</t>
  </si>
  <si>
    <t>Gharb Al-Wadi</t>
  </si>
  <si>
    <t>حي غرب الوادي</t>
  </si>
  <si>
    <t>Rumilah Village</t>
  </si>
  <si>
    <t>قرية رميلة</t>
  </si>
  <si>
    <t>Al-Daraemah Village</t>
  </si>
  <si>
    <t>قرية الدراعمة</t>
  </si>
  <si>
    <t>Hay Al Meethagh</t>
  </si>
  <si>
    <t>حي الميثاق</t>
  </si>
  <si>
    <t>Al Haara</t>
  </si>
  <si>
    <t>حي الحارة</t>
  </si>
  <si>
    <t>Al maadid</t>
  </si>
  <si>
    <t>المعاضيد</t>
  </si>
  <si>
    <t>Hay Al Tammem</t>
  </si>
  <si>
    <t>حي التأميم</t>
  </si>
  <si>
    <t>Hay Al Nasir</t>
  </si>
  <si>
    <t>حي النصر</t>
  </si>
  <si>
    <t>Hay Al ZeraI</t>
  </si>
  <si>
    <t>حي الزراعي</t>
  </si>
  <si>
    <t>Al-Awany Village</t>
  </si>
  <si>
    <t>قرية العواني</t>
  </si>
  <si>
    <t>Hay Al Salam</t>
  </si>
  <si>
    <t>Al bor (Shishan)</t>
  </si>
  <si>
    <t>حي العبور</t>
  </si>
  <si>
    <t>Hasi complex</t>
  </si>
  <si>
    <t>مجمع حصى</t>
  </si>
  <si>
    <t>Yarmouk</t>
  </si>
  <si>
    <t>Hay Al Qadissiyah</t>
  </si>
  <si>
    <t>حي القادسية</t>
  </si>
  <si>
    <t>Rayhana</t>
  </si>
  <si>
    <t>مجمع الريحانه</t>
  </si>
  <si>
    <t>Al Tadamon</t>
  </si>
  <si>
    <t>حي التضامن</t>
  </si>
  <si>
    <t>Albu Khanfar</t>
  </si>
  <si>
    <t xml:space="preserve">البوخنفر </t>
  </si>
  <si>
    <t>Al-Zuwayiah</t>
  </si>
  <si>
    <t>قرية الزوية</t>
  </si>
  <si>
    <t>Al Jaghify Al Thaniya</t>
  </si>
  <si>
    <t>الجغيفي الثانية</t>
  </si>
  <si>
    <t>Dawaya Al-Muhamed</t>
  </si>
  <si>
    <t>دواية المحامدة</t>
  </si>
  <si>
    <t>Al-Rufa</t>
  </si>
  <si>
    <t>الروفة</t>
  </si>
  <si>
    <t>Al-shahabi-2</t>
  </si>
  <si>
    <t>الشهابي الثانية</t>
  </si>
  <si>
    <t>Al Mualmeen</t>
  </si>
  <si>
    <t xml:space="preserve">حي المعلمين </t>
  </si>
  <si>
    <t>Al Shuhadaa 2</t>
  </si>
  <si>
    <t>الشهداء الثانية</t>
  </si>
  <si>
    <t>Halabsa-Al karma</t>
  </si>
  <si>
    <t>الحلابسة الكرمة</t>
  </si>
  <si>
    <t>Albu Alwan</t>
  </si>
  <si>
    <t>قرية البوعلوان</t>
  </si>
  <si>
    <t>Albu Shihab</t>
  </si>
  <si>
    <t>البوشهاب</t>
  </si>
  <si>
    <t>Al Abbah</t>
  </si>
  <si>
    <t>العبة</t>
  </si>
  <si>
    <t>Al-andalus</t>
  </si>
  <si>
    <t>حي الأندلس</t>
  </si>
  <si>
    <t>Hay Al Qadissiya/Al Muheet</t>
  </si>
  <si>
    <t>حي القادسية / المحيط</t>
  </si>
  <si>
    <t>Al Dawayah village</t>
  </si>
  <si>
    <t>الدواية</t>
  </si>
  <si>
    <t>Neeamiya</t>
  </si>
  <si>
    <t>النعيمية</t>
  </si>
  <si>
    <t>Al jdawil (qnatir)</t>
  </si>
  <si>
    <t>الجداول ( الكناطر )</t>
  </si>
  <si>
    <t>Albo Akoll</t>
  </si>
  <si>
    <t>البوعاكول</t>
  </si>
  <si>
    <t>Albu Shejel</t>
  </si>
  <si>
    <t>البوشجل</t>
  </si>
  <si>
    <t>Al-jamhuriya</t>
  </si>
  <si>
    <t>الجمهورية</t>
  </si>
  <si>
    <t>Halabsa-Falluja</t>
  </si>
  <si>
    <t>قرية الحلابسة</t>
  </si>
  <si>
    <t>Karma-Al Somod</t>
  </si>
  <si>
    <t>الصمود</t>
  </si>
  <si>
    <t>AL Shihaa</t>
  </si>
  <si>
    <t>الشيحة</t>
  </si>
  <si>
    <t>Albu Khalifa</t>
  </si>
  <si>
    <t xml:space="preserve">البوخليفة </t>
  </si>
  <si>
    <t>Al-Shurtan</t>
  </si>
  <si>
    <t xml:space="preserve">الشورتان </t>
  </si>
  <si>
    <t>حي جبيل</t>
  </si>
  <si>
    <t>Al Tala</t>
  </si>
  <si>
    <t xml:space="preserve">الطالعة </t>
  </si>
  <si>
    <t>Al Shurta</t>
  </si>
  <si>
    <t>حي الشرطة</t>
  </si>
  <si>
    <t>Albu Uakash</t>
  </si>
  <si>
    <t>البوعكاش</t>
  </si>
  <si>
    <t>Al-Falahat</t>
  </si>
  <si>
    <t>قرية الفلاحات</t>
  </si>
  <si>
    <t>Door Al Sikik Area</t>
  </si>
  <si>
    <t>دور السكك</t>
  </si>
  <si>
    <t>Al Daffar</t>
  </si>
  <si>
    <t>الدفار</t>
  </si>
  <si>
    <t>Hay Al-Aramel</t>
  </si>
  <si>
    <t>حي الارامل</t>
  </si>
  <si>
    <t>Albu Hawa</t>
  </si>
  <si>
    <t xml:space="preserve">البوهوى </t>
  </si>
  <si>
    <t>Albu Aifan</t>
  </si>
  <si>
    <t>البوعيفان</t>
  </si>
  <si>
    <t>Al-shahabi-1</t>
  </si>
  <si>
    <t>الشهابي الاولى</t>
  </si>
  <si>
    <t>Al-bazara</t>
  </si>
  <si>
    <t>حي البزارة</t>
  </si>
  <si>
    <t>Al-Julan</t>
  </si>
  <si>
    <t>الجولان</t>
  </si>
  <si>
    <t>Hay Al Mansour Tawzi Al Jadeed</t>
  </si>
  <si>
    <t>حي المنصور / التوزيع الجديد</t>
  </si>
  <si>
    <t>Al Husi</t>
  </si>
  <si>
    <t>الحصي</t>
  </si>
  <si>
    <t>Hay Al-Resala</t>
  </si>
  <si>
    <t>حي الرسالة</t>
  </si>
  <si>
    <t>Al-Cettak</t>
  </si>
  <si>
    <t>السي تاك</t>
  </si>
  <si>
    <t>Mujamma Al Therthar Al Sakani</t>
  </si>
  <si>
    <t>مجمع الثرثار السكني</t>
  </si>
  <si>
    <t>Muallimeen-2</t>
  </si>
  <si>
    <t xml:space="preserve">حي المعلمين الثانية </t>
  </si>
  <si>
    <t>Abu Sideera</t>
  </si>
  <si>
    <t>ابو سديرة</t>
  </si>
  <si>
    <t>Al-Shuhada 1</t>
  </si>
  <si>
    <t>الشهداء الاولى</t>
  </si>
  <si>
    <t>Al Rumila</t>
  </si>
  <si>
    <t>الرميلة</t>
  </si>
  <si>
    <t>Al-Azrakih</t>
  </si>
  <si>
    <t>الازركية</t>
  </si>
  <si>
    <t>Albu Jasim-Karma</t>
  </si>
  <si>
    <t>البوجاسم-الكرمة</t>
  </si>
  <si>
    <t>Albu Udah</t>
  </si>
  <si>
    <t>البوعودة</t>
  </si>
  <si>
    <t>Al-Akrad</t>
  </si>
  <si>
    <t>حي الاكراد</t>
  </si>
  <si>
    <t>Al-waheda</t>
  </si>
  <si>
    <t>حي الوحدة</t>
  </si>
  <si>
    <t>Hay Al Askari</t>
  </si>
  <si>
    <t>الحي العسكري</t>
  </si>
  <si>
    <t>Hay Al Dhubbat</t>
  </si>
  <si>
    <t>حي الضباط</t>
  </si>
  <si>
    <t>Al-Ekhaa Compaund</t>
  </si>
  <si>
    <t>مجمع الاخاء السكني</t>
  </si>
  <si>
    <t>Al Zaghareed</t>
  </si>
  <si>
    <t>الزغاريد</t>
  </si>
  <si>
    <t>Al-muatasem</t>
  </si>
  <si>
    <t>حي المعتصم</t>
  </si>
  <si>
    <t>Luhib</t>
  </si>
  <si>
    <t>اللهيب</t>
  </si>
  <si>
    <t>subihat</t>
  </si>
  <si>
    <t xml:space="preserve">الصبيحات </t>
  </si>
  <si>
    <t>Hay Al-Ameen</t>
  </si>
  <si>
    <t>Nazal</t>
  </si>
  <si>
    <t>حي نزال</t>
  </si>
  <si>
    <t>Al-Bijara</t>
  </si>
  <si>
    <t>البجارة</t>
  </si>
  <si>
    <t>Albo Shbeel</t>
  </si>
  <si>
    <t>البوشبيل</t>
  </si>
  <si>
    <t>Albu Shbeeb</t>
  </si>
  <si>
    <t>البوشبيب</t>
  </si>
  <si>
    <t>Huwaiwa</t>
  </si>
  <si>
    <t xml:space="preserve">حويوة </t>
  </si>
  <si>
    <t>Al-Karagul</t>
  </si>
  <si>
    <t>الكراغول</t>
  </si>
  <si>
    <t>Al Husaiwat</t>
  </si>
  <si>
    <t xml:space="preserve">الحصيوات </t>
  </si>
  <si>
    <t>Qaryat Albu Hadid Al-Nasir</t>
  </si>
  <si>
    <t>البوحديد الناصر</t>
  </si>
  <si>
    <t>Al Khansaa</t>
  </si>
  <si>
    <t>حي الخنساء</t>
  </si>
  <si>
    <t>Haqlaniyah-Al shuhadaa</t>
  </si>
  <si>
    <t>حي الشهداء-الحقلانية</t>
  </si>
  <si>
    <t>Hay Al Yarmuk</t>
  </si>
  <si>
    <t>Hay Ibn Bittar</t>
  </si>
  <si>
    <t>حي ابن بيطار</t>
  </si>
  <si>
    <t>Al Zawya village</t>
  </si>
  <si>
    <t>قرية الزاوية</t>
  </si>
  <si>
    <t>Hay Al_salam</t>
  </si>
  <si>
    <t>Hay Al Rahman</t>
  </si>
  <si>
    <t>حي الرحمن</t>
  </si>
  <si>
    <t>Hay Al-Subhani</t>
  </si>
  <si>
    <t>حي السبحاني</t>
  </si>
  <si>
    <t>Jabeel Bani Salih Village</t>
  </si>
  <si>
    <t>قرية جبيل بني صالح</t>
  </si>
  <si>
    <t>Hay Al Shay</t>
  </si>
  <si>
    <t>حي الشاعي</t>
  </si>
  <si>
    <t>Albu Hayat</t>
  </si>
  <si>
    <t>قرية البوحياة</t>
  </si>
  <si>
    <t>Hay Barwanah Al Gharbiyah</t>
  </si>
  <si>
    <t>حي بروانه غربيه</t>
  </si>
  <si>
    <t>Hay Al Haqlaniyah Qadim</t>
  </si>
  <si>
    <t>حي حقلانية القديمة</t>
  </si>
  <si>
    <t>Hay Al-Mutasem</t>
  </si>
  <si>
    <t>Barwanah-Hay Al-Shurta</t>
  </si>
  <si>
    <t>حي الشرطة-بروانه</t>
  </si>
  <si>
    <t>Hay Al-Amin</t>
  </si>
  <si>
    <t>Hay Al-shikh Al Hadid</t>
  </si>
  <si>
    <t>حي شيخ حديد</t>
  </si>
  <si>
    <t>Hay Al Teen</t>
  </si>
  <si>
    <t>حي الطين</t>
  </si>
  <si>
    <t>Hay Al Rifay</t>
  </si>
  <si>
    <t>حي الرفاعي</t>
  </si>
  <si>
    <t>Al-Khafajiyah Village</t>
  </si>
  <si>
    <t>قرية الخفاجية</t>
  </si>
  <si>
    <t>Bani Dahir</t>
  </si>
  <si>
    <t>حي بني داهر</t>
  </si>
  <si>
    <t>Zaghdan</t>
  </si>
  <si>
    <t>زغدان</t>
  </si>
  <si>
    <t>Hay khalid Ibn AL walid</t>
  </si>
  <si>
    <t>حي خالد ابن الوليد</t>
  </si>
  <si>
    <t>Al-Mutanabi</t>
  </si>
  <si>
    <t>المتنبي</t>
  </si>
  <si>
    <t>Hay Al-Alyaa</t>
  </si>
  <si>
    <t>حي العلياء</t>
  </si>
  <si>
    <t>Qaryat Al khafsa</t>
  </si>
  <si>
    <t>منطقة الخسفة</t>
  </si>
  <si>
    <t>Haqlaniyah-Hay Al-Faroq</t>
  </si>
  <si>
    <t>حي الفاروق-حقلانية</t>
  </si>
  <si>
    <t>Hay K 28</t>
  </si>
  <si>
    <t>مجمع ك 28 (( كي ثري ))</t>
  </si>
  <si>
    <t>Al-Sikak</t>
  </si>
  <si>
    <t>السكك</t>
  </si>
  <si>
    <t>Hay Al-Askary</t>
  </si>
  <si>
    <t>Al-Qalqalah</t>
  </si>
  <si>
    <t xml:space="preserve">القلقة </t>
  </si>
  <si>
    <t>Zakhikhah</t>
  </si>
  <si>
    <t>زخيخة</t>
  </si>
  <si>
    <t>khazraj</t>
  </si>
  <si>
    <t>خزرج</t>
  </si>
  <si>
    <t>Al-Mamora</t>
  </si>
  <si>
    <t>المعمورة</t>
  </si>
  <si>
    <t>Basair</t>
  </si>
  <si>
    <t xml:space="preserve">البصائر </t>
  </si>
  <si>
    <t>Hay- Amina</t>
  </si>
  <si>
    <t>حي أمينة</t>
  </si>
  <si>
    <t>Al-Khaldiyah</t>
  </si>
  <si>
    <t xml:space="preserve">الخالدية </t>
  </si>
  <si>
    <t>Al-shuhdaa  1</t>
  </si>
  <si>
    <t>kabisat alsharqi</t>
  </si>
  <si>
    <t>كبيسة الشرقي</t>
  </si>
  <si>
    <t>Al-Jananiyah</t>
  </si>
  <si>
    <t>الجنانية</t>
  </si>
  <si>
    <t>Qaryat Al-Dolab</t>
  </si>
  <si>
    <t xml:space="preserve">الدولاب </t>
  </si>
  <si>
    <t>almaysiria</t>
  </si>
  <si>
    <t>الميسيرية</t>
  </si>
  <si>
    <t>Al-Husayniyah / Al-Shamiya</t>
  </si>
  <si>
    <t xml:space="preserve">الحسنية / الشامية </t>
  </si>
  <si>
    <t>kibae</t>
  </si>
  <si>
    <t>كباع</t>
  </si>
  <si>
    <t>Al-Turba</t>
  </si>
  <si>
    <t xml:space="preserve">التربة </t>
  </si>
  <si>
    <t>السلام</t>
  </si>
  <si>
    <t>Hay Al-Askari</t>
  </si>
  <si>
    <t>Hay Al-Khudhir</t>
  </si>
  <si>
    <t>الخضر</t>
  </si>
  <si>
    <t>Hay Al-Timman</t>
  </si>
  <si>
    <t>حي التمن</t>
  </si>
  <si>
    <t>Zoyah Al-sharqiyah</t>
  </si>
  <si>
    <t xml:space="preserve">زوية الشرقية </t>
  </si>
  <si>
    <t xml:space="preserve">Bab Al Soor </t>
  </si>
  <si>
    <t>باب السور</t>
  </si>
  <si>
    <t>Al Khudha</t>
  </si>
  <si>
    <t xml:space="preserve">الخوضة </t>
  </si>
  <si>
    <t>alwasita</t>
  </si>
  <si>
    <t>الوسيطة</t>
  </si>
  <si>
    <t>Al Salkah</t>
  </si>
  <si>
    <t>السكلة</t>
  </si>
  <si>
    <t>Al-muabdiyat</t>
  </si>
  <si>
    <t>المعبديات</t>
  </si>
  <si>
    <t>Al-shuhdaa</t>
  </si>
  <si>
    <t>الشهداء</t>
  </si>
  <si>
    <t>Tal aswad</t>
  </si>
  <si>
    <t>تل اسود</t>
  </si>
  <si>
    <t>Hay al Jury</t>
  </si>
  <si>
    <t>الجري</t>
  </si>
  <si>
    <t>Jubbah</t>
  </si>
  <si>
    <t xml:space="preserve">جبة </t>
  </si>
  <si>
    <t>zawiat alwustaa</t>
  </si>
  <si>
    <t>زوية الوسطى</t>
  </si>
  <si>
    <t>Al-Husayniyah / Al-Jazera</t>
  </si>
  <si>
    <t xml:space="preserve">الحسنية / الجزيرة </t>
  </si>
  <si>
    <t>Al Baker</t>
  </si>
  <si>
    <t>حي البكر</t>
  </si>
  <si>
    <t>AL-Moalimeen AL-Thaniya</t>
  </si>
  <si>
    <t>Hay Al-jamyah 2</t>
  </si>
  <si>
    <t>الجمعية الثانية</t>
  </si>
  <si>
    <t>Zoyah Al-gharbiyah</t>
  </si>
  <si>
    <t>زوية الغربية</t>
  </si>
  <si>
    <t>Hay Al-Sirajiyah</t>
  </si>
  <si>
    <t>السراجية</t>
  </si>
  <si>
    <t>alrashid</t>
  </si>
  <si>
    <t>الرشيد</t>
  </si>
  <si>
    <t>Al dawarah Al Gharbiyah</t>
  </si>
  <si>
    <t>الدوارة الغربية</t>
  </si>
  <si>
    <t>Hay Al Khadraa</t>
  </si>
  <si>
    <t>الخضراء</t>
  </si>
  <si>
    <t>Hay Al-Etfaa</t>
  </si>
  <si>
    <t>حي الاطفاء</t>
  </si>
  <si>
    <t>Hay Al-Sadiq</t>
  </si>
  <si>
    <t>حي الصديق</t>
  </si>
  <si>
    <t>Saweeb</t>
  </si>
  <si>
    <t>سويب</t>
  </si>
  <si>
    <t>jabil</t>
  </si>
  <si>
    <t>جبيل</t>
  </si>
  <si>
    <t>Al-Sadga</t>
  </si>
  <si>
    <t xml:space="preserve">الصدكة </t>
  </si>
  <si>
    <t>Hay Al-Quds</t>
  </si>
  <si>
    <t>القدس</t>
  </si>
  <si>
    <t>Mualmeen</t>
  </si>
  <si>
    <t>المعلمين</t>
  </si>
  <si>
    <t>Al Muhamdee</t>
  </si>
  <si>
    <t xml:space="preserve">المحمدي </t>
  </si>
  <si>
    <t>Aqabah</t>
  </si>
  <si>
    <t>العكبة</t>
  </si>
  <si>
    <t>The first jamaiya</t>
  </si>
  <si>
    <t>الجمعية الاولى</t>
  </si>
  <si>
    <t>Abu Tibban</t>
  </si>
  <si>
    <t>ابوطيبان</t>
  </si>
  <si>
    <t>Binan</t>
  </si>
  <si>
    <t>بنان</t>
  </si>
  <si>
    <t>aljudafia</t>
  </si>
  <si>
    <t>الجودفية</t>
  </si>
  <si>
    <t>Hay AL-zihoor</t>
  </si>
  <si>
    <t xml:space="preserve">حي الزهور </t>
  </si>
  <si>
    <t>Al-Bustamiyah</t>
  </si>
  <si>
    <t>البسطامية</t>
  </si>
  <si>
    <t>Al-Mujama Al-Sakani</t>
  </si>
  <si>
    <t>الحي السكني</t>
  </si>
  <si>
    <t>Heet-Maskhan</t>
  </si>
  <si>
    <t>المصخن</t>
  </si>
  <si>
    <t>Hay Al Farouq</t>
  </si>
  <si>
    <t>Al-Mashhad</t>
  </si>
  <si>
    <t>المشهد</t>
  </si>
  <si>
    <t>Kubaisa Al-qadimah</t>
  </si>
  <si>
    <t>كبيسة القديمة</t>
  </si>
  <si>
    <t>baghdadi alsharqi</t>
  </si>
  <si>
    <t>بغدادي الشرقي</t>
  </si>
  <si>
    <t>Albuhamd</t>
  </si>
  <si>
    <t>البو حمد</t>
  </si>
  <si>
    <t>Al-Ummal</t>
  </si>
  <si>
    <t xml:space="preserve">العمال </t>
  </si>
  <si>
    <t>Hay Al-Jabal</t>
  </si>
  <si>
    <t xml:space="preserve">الجبل </t>
  </si>
  <si>
    <t>Hay Al-Qadisiyah</t>
  </si>
  <si>
    <t>القادسية</t>
  </si>
  <si>
    <t xml:space="preserve">حي السلام </t>
  </si>
  <si>
    <t>Al Qaala</t>
  </si>
  <si>
    <t>حي القلعة</t>
  </si>
  <si>
    <t>Hay Al Shoba</t>
  </si>
  <si>
    <t>حي الشعبة</t>
  </si>
  <si>
    <t>Hay Alkhadraa</t>
  </si>
  <si>
    <t>حي الخضراء</t>
  </si>
  <si>
    <t>Al-Hidayah</t>
  </si>
  <si>
    <t>حي الهداية</t>
  </si>
  <si>
    <t>Rawa Al Qadima</t>
  </si>
  <si>
    <t>حي راوة قديمة</t>
  </si>
  <si>
    <t>Hay Raua Al-Jadida</t>
  </si>
  <si>
    <t>حي راوة جديدة</t>
  </si>
  <si>
    <t>Sin Al-Thubban</t>
  </si>
  <si>
    <t>سن الذبان</t>
  </si>
  <si>
    <t>Zankura</t>
  </si>
  <si>
    <t>زنكورة</t>
  </si>
  <si>
    <t>Hay Al-Zaiton</t>
  </si>
  <si>
    <t>Warar</t>
  </si>
  <si>
    <t>الورار</t>
  </si>
  <si>
    <t>Hay Al Baker</t>
  </si>
  <si>
    <t>Hay Al Mulmeen</t>
  </si>
  <si>
    <t>Hay Al Malab</t>
  </si>
  <si>
    <t>الملعب</t>
  </si>
  <si>
    <t>Al Khulafaa</t>
  </si>
  <si>
    <t>الخلفاء</t>
  </si>
  <si>
    <t>Al-Sadiqiyah</t>
  </si>
  <si>
    <t xml:space="preserve">الصديقية </t>
  </si>
  <si>
    <t>Al Dhubat 2</t>
  </si>
  <si>
    <t xml:space="preserve">الضباط الثانية </t>
  </si>
  <si>
    <t>Hay Al Eskan</t>
  </si>
  <si>
    <t>الاسكان</t>
  </si>
  <si>
    <t>Jubiyah</t>
  </si>
  <si>
    <t>جويبة</t>
  </si>
  <si>
    <t>Husaibah Al-Sharqiah</t>
  </si>
  <si>
    <t xml:space="preserve">حصيبة الشرقية </t>
  </si>
  <si>
    <t>Al-Tash</t>
  </si>
  <si>
    <t>الطاش</t>
  </si>
  <si>
    <t>AL-hammameyat</t>
  </si>
  <si>
    <t>الحماميات</t>
  </si>
  <si>
    <t>Al Askari</t>
  </si>
  <si>
    <t>العسكري</t>
  </si>
  <si>
    <t>Al Shuqaq Al Bidh</t>
  </si>
  <si>
    <t>الشقق البيض</t>
  </si>
  <si>
    <t>Hay Al-Mualimen</t>
  </si>
  <si>
    <t>حي المعلمين</t>
  </si>
  <si>
    <t>5 Kilo</t>
  </si>
  <si>
    <t>الخمسة كيلو</t>
  </si>
  <si>
    <t>Al-Kully Kom Complex</t>
  </si>
  <si>
    <t xml:space="preserve">مجمع الكولي كم </t>
  </si>
  <si>
    <t>Al-Shuhadaa</t>
  </si>
  <si>
    <t>Al Katanah</t>
  </si>
  <si>
    <t>الكطانة</t>
  </si>
  <si>
    <t>Al Sajariyah</t>
  </si>
  <si>
    <t>السجارية</t>
  </si>
  <si>
    <t>AL-mlahma</t>
  </si>
  <si>
    <t>الملاحمه</t>
  </si>
  <si>
    <t>AL-bo jahish</t>
  </si>
  <si>
    <t>البوجحش</t>
  </si>
  <si>
    <t>Albu-Assaf</t>
  </si>
  <si>
    <t>البو عساف</t>
  </si>
  <si>
    <t>Hay Al-Madani</t>
  </si>
  <si>
    <t xml:space="preserve">الحي المدني </t>
  </si>
  <si>
    <t>Qadisiya-1</t>
  </si>
  <si>
    <t>القادسية الاولى</t>
  </si>
  <si>
    <t>Zoyaha Al-Thuban</t>
  </si>
  <si>
    <t>زوية الذبان</t>
  </si>
  <si>
    <t>Al Wafaa</t>
  </si>
  <si>
    <t>الوفاء</t>
  </si>
  <si>
    <t>Al Shuhadaa Qtr</t>
  </si>
  <si>
    <t>Hay 30 Tamooz</t>
  </si>
  <si>
    <t>حي 30 تموز</t>
  </si>
  <si>
    <t>AL- bo obead</t>
  </si>
  <si>
    <t>البوعبيد</t>
  </si>
  <si>
    <t>Al Soora</t>
  </si>
  <si>
    <t>السورة</t>
  </si>
  <si>
    <t>Jazirat Al Khaldiyah</t>
  </si>
  <si>
    <t>جزيرة الخالدية</t>
  </si>
  <si>
    <t>7 Killo-Al Karfanat</t>
  </si>
  <si>
    <t>السبعة كيلو-الكرفانات</t>
  </si>
  <si>
    <t>Al Andalus</t>
  </si>
  <si>
    <t>الاندلس</t>
  </si>
  <si>
    <t>Albu Thyab</t>
  </si>
  <si>
    <t>البو ذياب</t>
  </si>
  <si>
    <t>7 Killo-Al Sat</t>
  </si>
  <si>
    <t>السبعة كيلو-السات</t>
  </si>
  <si>
    <t>Kilo 7</t>
  </si>
  <si>
    <t>كيلو 7</t>
  </si>
  <si>
    <t>Hay Al Dawajin</t>
  </si>
  <si>
    <t>حي الدواجن</t>
  </si>
  <si>
    <t>Albu-Ali Aljasim</t>
  </si>
  <si>
    <t xml:space="preserve">البو علي الجاسم </t>
  </si>
  <si>
    <t>Al-Farooq complex</t>
  </si>
  <si>
    <t>مجمع الفاروق السكني</t>
  </si>
  <si>
    <t xml:space="preserve"> Albu Aetha </t>
  </si>
  <si>
    <t>البو عيثة</t>
  </si>
  <si>
    <t>AL-eitha</t>
  </si>
  <si>
    <t>البوعيثه</t>
  </si>
  <si>
    <t>Qadisiya-2</t>
  </si>
  <si>
    <t>القادسية الثانية</t>
  </si>
  <si>
    <t>Al Azeziya</t>
  </si>
  <si>
    <t>العزيزية</t>
  </si>
  <si>
    <t>Al-Shareka</t>
  </si>
  <si>
    <t>الشركة</t>
  </si>
  <si>
    <t>Al Hooz</t>
  </si>
  <si>
    <t>الحوز</t>
  </si>
  <si>
    <t>AL-Tarabsha</t>
  </si>
  <si>
    <t>الطرابشه</t>
  </si>
  <si>
    <t>Al Sofeya</t>
  </si>
  <si>
    <t>الصوفية</t>
  </si>
  <si>
    <t>Al Jamiyah</t>
  </si>
  <si>
    <t>الجمعية</t>
  </si>
  <si>
    <t>AL-bo bali</t>
  </si>
  <si>
    <t>البو بالي</t>
  </si>
  <si>
    <t>Hay AlQuds</t>
  </si>
  <si>
    <t>حي القدس</t>
  </si>
  <si>
    <t>Al-Hamidhiyah</t>
  </si>
  <si>
    <t>الحامضية</t>
  </si>
  <si>
    <t>Al-Thilah</t>
  </si>
  <si>
    <t>الثيلة</t>
  </si>
  <si>
    <t>AL-bo assaf</t>
  </si>
  <si>
    <t>البوعساف</t>
  </si>
  <si>
    <t>Hay AL-Tarbiyah</t>
  </si>
  <si>
    <t>حي التربية</t>
  </si>
  <si>
    <t>Al-Majmoa Al-Handasiya</t>
  </si>
  <si>
    <t>المجموعة الهندسية</t>
  </si>
  <si>
    <t>Al Urobah</t>
  </si>
  <si>
    <t>العروبة</t>
  </si>
  <si>
    <t>Albo Resha</t>
  </si>
  <si>
    <t>البو ريشة</t>
  </si>
  <si>
    <t>AL-bo suda</t>
  </si>
  <si>
    <t>البوسودة</t>
  </si>
  <si>
    <t>Al Rimilah</t>
  </si>
  <si>
    <t>Al-Ankor</t>
  </si>
  <si>
    <t>العنكور</t>
  </si>
  <si>
    <t>Hay Al Akrad</t>
  </si>
  <si>
    <t>الاكراد</t>
  </si>
  <si>
    <t>البوعلوان</t>
  </si>
  <si>
    <t>Al Aadil</t>
  </si>
  <si>
    <t>العادل</t>
  </si>
  <si>
    <t>Watiat Kulfa complex</t>
  </si>
  <si>
    <t>مجمع واطئه كلفة</t>
  </si>
  <si>
    <t>AL-gertaan</t>
  </si>
  <si>
    <t>الكرطان</t>
  </si>
  <si>
    <t>Abu Fless</t>
  </si>
  <si>
    <t>ابو فليس</t>
  </si>
  <si>
    <t>Al Ziraa</t>
  </si>
  <si>
    <t>الزراعة</t>
  </si>
  <si>
    <t>Albo Fraj</t>
  </si>
  <si>
    <t>البوفراج</t>
  </si>
  <si>
    <t>Albu-Shaaban</t>
  </si>
  <si>
    <t>البو شعبان</t>
  </si>
  <si>
    <t>Al-Jeraishi</t>
  </si>
  <si>
    <t>الجرايشي</t>
  </si>
  <si>
    <t>The modern village</t>
  </si>
  <si>
    <t>القرية العصرية</t>
  </si>
  <si>
    <t>Hay 8 Shbbat</t>
  </si>
  <si>
    <t>حي 8 شباط</t>
  </si>
  <si>
    <t>Hay Al ameen</t>
  </si>
  <si>
    <t>Al Bu Maeed village</t>
  </si>
  <si>
    <t>قرية البو معيد</t>
  </si>
  <si>
    <t>Al Anaz village</t>
  </si>
  <si>
    <t>قرية العناز</t>
  </si>
  <si>
    <t>Al Rafwash village</t>
  </si>
  <si>
    <t>قرية الرفوش</t>
  </si>
  <si>
    <t>Al Hamadan village</t>
  </si>
  <si>
    <t>قرية الحمدان</t>
  </si>
  <si>
    <t>Al Kabaeshat village</t>
  </si>
  <si>
    <t>قرية الكبيشات</t>
  </si>
  <si>
    <t>Al Sheiti village</t>
  </si>
  <si>
    <t>قرية الشيتي</t>
  </si>
  <si>
    <t xml:space="preserve">Al Kamazan village </t>
  </si>
  <si>
    <t>قرية الكمزان</t>
  </si>
  <si>
    <t>Al Shanadka village</t>
  </si>
  <si>
    <t>قرية الشنادخة</t>
  </si>
  <si>
    <t>Al Zaidan-Al Sadan village</t>
  </si>
  <si>
    <t>الزيدان-قرية السعدان</t>
  </si>
  <si>
    <t>Al Masara village</t>
  </si>
  <si>
    <t xml:space="preserve">قرية المسارة </t>
  </si>
  <si>
    <t xml:space="preserve">Adel Hrat village </t>
  </si>
  <si>
    <t>قرية عادل هراط</t>
  </si>
  <si>
    <t>Majad Al Draa village</t>
  </si>
  <si>
    <t>قرية ماجد الدرع</t>
  </si>
  <si>
    <t xml:space="preserve">Al Mahasna village </t>
  </si>
  <si>
    <t xml:space="preserve">قرية المحاسنة </t>
  </si>
  <si>
    <t>Al Heetaween village</t>
  </si>
  <si>
    <t>قرية الهيتاوين</t>
  </si>
  <si>
    <t>Al Kroash village</t>
  </si>
  <si>
    <t>قرية الكروش</t>
  </si>
  <si>
    <t>Al Raja village</t>
  </si>
  <si>
    <t>قرية الرجا</t>
  </si>
  <si>
    <t>Yassen Al Mutlk village</t>
  </si>
  <si>
    <t>قرية ياسين المطلق</t>
  </si>
  <si>
    <t>Al Batiy Village</t>
  </si>
  <si>
    <t>قرية البطي</t>
  </si>
  <si>
    <t>Al Zalabja village</t>
  </si>
  <si>
    <t>قرية الزجالبة</t>
  </si>
  <si>
    <t>Al Bakar village</t>
  </si>
  <si>
    <t>قرية البكر</t>
  </si>
  <si>
    <t>Al Abady village</t>
  </si>
  <si>
    <t>قرية العبادي</t>
  </si>
  <si>
    <t>Al Darnaj village</t>
  </si>
  <si>
    <t>قرية الدرناج</t>
  </si>
  <si>
    <t>Al Mamier village</t>
  </si>
  <si>
    <t>قرية المعامير</t>
  </si>
  <si>
    <t xml:space="preserve">Al Jamahoria village </t>
  </si>
  <si>
    <t>قرية الجمهورية</t>
  </si>
  <si>
    <t>Al shaneter village</t>
  </si>
  <si>
    <t>الزيدان-قرية الشنيتر</t>
  </si>
  <si>
    <t xml:space="preserve">Al Fallujieen village </t>
  </si>
  <si>
    <t>قرية الفلوجيين</t>
  </si>
  <si>
    <t>Mashkor village</t>
  </si>
  <si>
    <t>قرية مشكور</t>
  </si>
  <si>
    <t>Doylebea village</t>
  </si>
  <si>
    <t>قرية دويليبة</t>
  </si>
  <si>
    <t xml:space="preserve">Al Hawijar village </t>
  </si>
  <si>
    <t>قرية الهويجر</t>
  </si>
  <si>
    <t>Al Kwainat village</t>
  </si>
  <si>
    <t>قرية الخوينات</t>
  </si>
  <si>
    <t>Al Shoker village</t>
  </si>
  <si>
    <t>قرية الشكر</t>
  </si>
  <si>
    <t>Al Zawaba village</t>
  </si>
  <si>
    <t>قرية الزوابعة</t>
  </si>
  <si>
    <t>18 Al Sadan village</t>
  </si>
  <si>
    <t>قرية 18 السعدان</t>
  </si>
  <si>
    <t>Sabea Al Buor-14000</t>
  </si>
  <si>
    <t>سبع البور-14000</t>
  </si>
  <si>
    <t>Sabea Al Buor-8000</t>
  </si>
  <si>
    <t>سبع البور-8000</t>
  </si>
  <si>
    <t>Sabea Al Buor-13000</t>
  </si>
  <si>
    <t>سبع البور-13000</t>
  </si>
  <si>
    <t>Sabea Al Buor-5000</t>
  </si>
  <si>
    <t>سبع البور-5000</t>
  </si>
  <si>
    <t>Sabea Al Buor-9000</t>
  </si>
  <si>
    <t>سبع البور-9000</t>
  </si>
  <si>
    <t>Sabea Al Buor-11000</t>
  </si>
  <si>
    <t>سبع البور-11000</t>
  </si>
  <si>
    <t>Sabea Al Buor-4000</t>
  </si>
  <si>
    <t>سبع البور-4000</t>
  </si>
  <si>
    <t>Sabea Al Buor-7000</t>
  </si>
  <si>
    <t>سبع البور-7000</t>
  </si>
  <si>
    <t>Sabea Al Buor-12000</t>
  </si>
  <si>
    <t>سبع البور-12000</t>
  </si>
  <si>
    <t>Sabea Al Buor-3000</t>
  </si>
  <si>
    <t>سبع البور-3000</t>
  </si>
  <si>
    <t>Shaka-1</t>
  </si>
  <si>
    <t>شاخة-1</t>
  </si>
  <si>
    <t>Albo Fahad village</t>
  </si>
  <si>
    <t>قرية البو فهد</t>
  </si>
  <si>
    <t>Albo Awasj village</t>
  </si>
  <si>
    <t>قرية البو عوسج</t>
  </si>
  <si>
    <t>Al Motokal village-(Al Jomblatiya Northern)</t>
  </si>
  <si>
    <t>قرية المتوكل-الجمبلاطية الشمالية</t>
  </si>
  <si>
    <t>Arab Dawad village</t>
  </si>
  <si>
    <t>قرية عرب داود</t>
  </si>
  <si>
    <t>Hay Al Dobat(Al kragolyia)</t>
  </si>
  <si>
    <t>حي الضباط(الكرغولية)</t>
  </si>
  <si>
    <t>Albo Aesa-Mukhata 16</t>
  </si>
  <si>
    <t>مقاطعة 16-قرية البو عيسى</t>
  </si>
  <si>
    <t>Al Bu solta(Al kragolyia)</t>
  </si>
  <si>
    <t>البو سلطان(الكرغولية)</t>
  </si>
  <si>
    <t>Hay Al Shuhada(Al kragolyia)</t>
  </si>
  <si>
    <t>حي الشهداء(الكرغولية)</t>
  </si>
  <si>
    <t>Killo-12</t>
  </si>
  <si>
    <t>كيلو-12</t>
  </si>
  <si>
    <t>Al Azam village-Mukhata 17</t>
  </si>
  <si>
    <t>قرية العزم-مقاطعة 17</t>
  </si>
  <si>
    <t>Al Ghatawan village-Al Jomblatiya Northern)</t>
  </si>
  <si>
    <t>قرية الغثوان-الجمبلاطية الشمالية</t>
  </si>
  <si>
    <t>Abdallah al Kadhim-(Al Harkawai Northen )</t>
  </si>
  <si>
    <t>قرية عبد الله الكاظم-الحركاوي الشمالية</t>
  </si>
  <si>
    <t>Al Ameen village-(Al Jomblatiya Southern)</t>
  </si>
  <si>
    <t>قرية الامين-الجمبلاطية الجنوبية</t>
  </si>
  <si>
    <t xml:space="preserve">Arab Aefan village </t>
  </si>
  <si>
    <t>قرية عرب عيفان</t>
  </si>
  <si>
    <t>Killo-32</t>
  </si>
  <si>
    <t>كيلو 32</t>
  </si>
  <si>
    <t>Shaka-3</t>
  </si>
  <si>
    <t>شاخة-3</t>
  </si>
  <si>
    <t>Mukata 16 (Al Kwam village)</t>
  </si>
  <si>
    <t>مقاطعة 16-قرية الكوم</t>
  </si>
  <si>
    <t>Al Imam Ali village-(Al Jomblatiya Southern)</t>
  </si>
  <si>
    <t>قرية الامام علي-الجمبلاطية الجنوبية</t>
  </si>
  <si>
    <t>Arab Abu Lahiya village</t>
  </si>
  <si>
    <t>قرية عرب ابو لحية</t>
  </si>
  <si>
    <t xml:space="preserve">Shbesha Village </t>
  </si>
  <si>
    <t>قرية شبيشة(الكرغولية)</t>
  </si>
  <si>
    <t>Killo-14</t>
  </si>
  <si>
    <t>كيلو-14</t>
  </si>
  <si>
    <t>Mukhta Al Jawai Al Janoobi</t>
  </si>
  <si>
    <t>مقاطعة الجاوي الجنوبي</t>
  </si>
  <si>
    <t>The Kamas village</t>
  </si>
  <si>
    <t>قرية الخماس</t>
  </si>
  <si>
    <t>Kilo 31</t>
  </si>
  <si>
    <t>كيلو 31</t>
  </si>
  <si>
    <t xml:space="preserve">Al Rasheediya Village </t>
  </si>
  <si>
    <t>قرية الرشدية</t>
  </si>
  <si>
    <t xml:space="preserve">The Rawajeh village </t>
  </si>
  <si>
    <t>قرية الرواجح</t>
  </si>
  <si>
    <t>Albu Moufarrej Village</t>
  </si>
  <si>
    <t>قرية البو مفرج</t>
  </si>
  <si>
    <t>shaka-4</t>
  </si>
  <si>
    <t>شاخة-4</t>
  </si>
  <si>
    <t xml:space="preserve">Faheel Am Al Jaeer village </t>
  </si>
  <si>
    <t>قرية فحيل ام الجير</t>
  </si>
  <si>
    <t>Al Dhaba village-Al harkawai Northen )</t>
  </si>
  <si>
    <t>قرية الضبع-الحركاوي الشمالية</t>
  </si>
  <si>
    <t>Al Hakeam Al Rasheed-(Al Jomblatiya Southern)</t>
  </si>
  <si>
    <t xml:space="preserve">قرية الحكيم الرشيد-الجمبلاطية الجنوبية </t>
  </si>
  <si>
    <t>Al shaheed village-(Al Harkawi Southern)</t>
  </si>
  <si>
    <t>قرية الشهيد مصحب-الحركاوي الجنوبية</t>
  </si>
  <si>
    <t xml:space="preserve">Arab jasam village </t>
  </si>
  <si>
    <t xml:space="preserve">قرية عرب جاسم </t>
  </si>
  <si>
    <t>Al Rasool village-(Al Jomblatiya Southern)</t>
  </si>
  <si>
    <t xml:space="preserve">قرية الرسول-الجمبلاطية الجنوبية </t>
  </si>
  <si>
    <t>Albo Aesa(Al kragolyia)</t>
  </si>
  <si>
    <t>البو عيسى(الكرغولية)</t>
  </si>
  <si>
    <t>Al Moammen Billah-(Al Jomblatiya Southern)</t>
  </si>
  <si>
    <t>قرية المؤمن بالله-الجمبلاطية الجنوبية</t>
  </si>
  <si>
    <t>Al Bu Hasson(Al kragolyia)</t>
  </si>
  <si>
    <t>البو حسون(الكرغولية)</t>
  </si>
  <si>
    <t>Shaka-2</t>
  </si>
  <si>
    <t>شاخة-2</t>
  </si>
  <si>
    <t>Al Muaghith village-(Al Jomblatiya Southern)</t>
  </si>
  <si>
    <t>قرية المغيث-الجمبلاطية الجنوبية</t>
  </si>
  <si>
    <t>Al Abraar village-(Al Jomblatiya Northern)</t>
  </si>
  <si>
    <t>قرية الابرار-الجمبلاطية الشمالية</t>
  </si>
  <si>
    <t xml:space="preserve">Al bu Khdear village </t>
  </si>
  <si>
    <t xml:space="preserve">قرية البو خضير </t>
  </si>
  <si>
    <t>Al Azez Al Ghaffar-(Al Jomblatiya Southern)</t>
  </si>
  <si>
    <t>قرية العزيز الغفار-الجمبلاطية الجنوبية</t>
  </si>
  <si>
    <t>Killo-5</t>
  </si>
  <si>
    <t>كيلو5</t>
  </si>
  <si>
    <t>The Al-Haraj villag</t>
  </si>
  <si>
    <t>قرية الحرج</t>
  </si>
  <si>
    <t>Al Mustafa village-(Al Jomblatiya Southern)</t>
  </si>
  <si>
    <t>قرية المصطفى-الجمبلاطية الجنوبية</t>
  </si>
  <si>
    <t>Al Forat l village-(Al Harkawi Southern)</t>
  </si>
  <si>
    <t>قرية الفرات-الحركاوي الجنوبية</t>
  </si>
  <si>
    <t>Asmail Mohammed village</t>
  </si>
  <si>
    <t>قرية اسماعيل محمد</t>
  </si>
  <si>
    <t>13 Al Dhabat-Albo Abdo village</t>
  </si>
  <si>
    <t>الضبات13-قرية البوعبدو</t>
  </si>
  <si>
    <t>13 Al Dhabat-Albo Rabeea</t>
  </si>
  <si>
    <t>الضبات 13-قرية البو ربيع</t>
  </si>
  <si>
    <t>14 Abar-Latif Al Hasan</t>
  </si>
  <si>
    <t>قرية لطيف الحسن-14 ابار</t>
  </si>
  <si>
    <t>Salah Al Ajaj village</t>
  </si>
  <si>
    <t>قرية صالح العجاج</t>
  </si>
  <si>
    <t>7 Mijman Mahmmod al Najim village</t>
  </si>
  <si>
    <t>7 مجمان قرية محمود النجم</t>
  </si>
  <si>
    <t>14 Abar-Naji Khalaf Ramadan village</t>
  </si>
  <si>
    <t>قرية ناجي خلف رمضان-14 ابار</t>
  </si>
  <si>
    <t>14 Abar-Rabie Aday village</t>
  </si>
  <si>
    <t>قرية ربيع عداي14 ابار</t>
  </si>
  <si>
    <t>13 Al Dhabat-obedat Village</t>
  </si>
  <si>
    <t>13 ضبات-قرية العبيدات</t>
  </si>
  <si>
    <t>15 Masaaod-Mahmmod Suliman village</t>
  </si>
  <si>
    <t>15 مسعود-قرية محمود سليمان</t>
  </si>
  <si>
    <t>Alo Khtaia village</t>
  </si>
  <si>
    <t>قرية البو كطاية</t>
  </si>
  <si>
    <t>Jasim Mohamed Khalf villge</t>
  </si>
  <si>
    <t>قرية جاسم محمد خلف</t>
  </si>
  <si>
    <t>13 Al Dhabat-Dawad Al Hasan</t>
  </si>
  <si>
    <t>الضبات 13-قرية داود الحسن</t>
  </si>
  <si>
    <t>13 Al Dhabat-Albou Jari</t>
  </si>
  <si>
    <t>13 ضبات-قرية البوجاري</t>
  </si>
  <si>
    <t>7 Mijman-Albu Firas village</t>
  </si>
  <si>
    <t>قرية البو  فارس -7مجمان</t>
  </si>
  <si>
    <t>Nadeem-2 Village</t>
  </si>
  <si>
    <t>قرية نديم-2</t>
  </si>
  <si>
    <t>13 Al Dhabat-Abo Khameas</t>
  </si>
  <si>
    <t>الضبات 13-قرية البو خميس</t>
  </si>
  <si>
    <t>7 Mijman-Al Wisan village</t>
  </si>
  <si>
    <t>7 مجمان-قرية الويسان</t>
  </si>
  <si>
    <t>Mosa Al Awad villge</t>
  </si>
  <si>
    <t>قرية موسى العواد</t>
  </si>
  <si>
    <t>13 Al Dhabat-Albo Shanedakh village</t>
  </si>
  <si>
    <t>الضبات13-قرية البو شنيدخ</t>
  </si>
  <si>
    <t>14 Abar villge 7</t>
  </si>
  <si>
    <t>قرية 7-14 ابار</t>
  </si>
  <si>
    <t>15 Masaaod-Al Anaz village</t>
  </si>
  <si>
    <t>15 مسعود-قرية العناز</t>
  </si>
  <si>
    <t>7 Mijman AlTha'er</t>
  </si>
  <si>
    <t>7مجمان قرية الثائر</t>
  </si>
  <si>
    <t>15 Masaaod-Daham al Baraa village</t>
  </si>
  <si>
    <t>15 مسعود-قرية دحام البرع</t>
  </si>
  <si>
    <t>13 Al Dhabat-Al Harat village</t>
  </si>
  <si>
    <t>الضبات13-قرية الحرات</t>
  </si>
  <si>
    <t>15 Masaaod-Hatem al Mutlak village</t>
  </si>
  <si>
    <t>15مسعود-قرية حاتم المطلك</t>
  </si>
  <si>
    <t>7 Mijman-Mohammed Horam village</t>
  </si>
  <si>
    <t>قرية محمد حوران-7 مجمان</t>
  </si>
  <si>
    <t>Nadeem-1 Village</t>
  </si>
  <si>
    <t>قرية نديم-1</t>
  </si>
  <si>
    <t>14 Abar village 5</t>
  </si>
  <si>
    <t>قرية5-14 ابار</t>
  </si>
  <si>
    <t>7 Mijman-Al Makarm village</t>
  </si>
  <si>
    <t>قرية المكارم  -7مجمان</t>
  </si>
  <si>
    <t>14 Abar village 6</t>
  </si>
  <si>
    <t>قرية6-14 ابار</t>
  </si>
  <si>
    <t>7 Mijman-Tal al Tassa village</t>
  </si>
  <si>
    <t>7 مجمان-قرية تل الطاسة</t>
  </si>
  <si>
    <t>Fishkhaboor</t>
  </si>
  <si>
    <t>فيشخابور</t>
  </si>
  <si>
    <t>Albo Shreh Village</t>
  </si>
  <si>
    <t>قرية البو شريح</t>
  </si>
  <si>
    <t>Al Darawish village</t>
  </si>
  <si>
    <t>قرية الدراويش</t>
  </si>
  <si>
    <t>Al Safra al saghera village</t>
  </si>
  <si>
    <t>قرية الصفرة الصغيرة</t>
  </si>
  <si>
    <t>Albo Elaywi village</t>
  </si>
  <si>
    <t>قرية البو عليوي</t>
  </si>
  <si>
    <t>Albo Sarah Village</t>
  </si>
  <si>
    <t>قرية البو سراح</t>
  </si>
  <si>
    <t>Dalli Abass-Al-Shuhada Qtr</t>
  </si>
  <si>
    <t>دلي عباس-حي الشهداء</t>
  </si>
  <si>
    <t>Dwaleeb Al Imam Village</t>
  </si>
  <si>
    <t>قرية دواليب الامام</t>
  </si>
  <si>
    <t>Dalli Abass-Kurd Ali</t>
  </si>
  <si>
    <t>دلي عباس-كرد علي</t>
  </si>
  <si>
    <t>Al Rmelat Village</t>
  </si>
  <si>
    <t>قرية الرميلات</t>
  </si>
  <si>
    <t>Al Wehdaa Village(Albo Maree)</t>
  </si>
  <si>
    <t>قرية الوحدة(البو مرعي)</t>
  </si>
  <si>
    <t>Al Safra al kebera village</t>
  </si>
  <si>
    <t>قرية الصفرة الكبيرة</t>
  </si>
  <si>
    <t>Khashim Zarzor Village</t>
  </si>
  <si>
    <t>قرية خشم زرزور</t>
  </si>
  <si>
    <t>Al Idhem Center</t>
  </si>
  <si>
    <t>مركز ناحية العظيم</t>
  </si>
  <si>
    <t>Hassan Al Shamari village</t>
  </si>
  <si>
    <t>قرية حسن الشمري</t>
  </si>
  <si>
    <t>Um al Hawali village</t>
  </si>
  <si>
    <t>قرية ام الحوالي</t>
  </si>
  <si>
    <t>Albo Ajam Village</t>
  </si>
  <si>
    <t>قرية البو عجم</t>
  </si>
  <si>
    <t>Dalli Abass-Al Rasheed Qtr</t>
  </si>
  <si>
    <t>دلي عباس-حي الرشيد</t>
  </si>
  <si>
    <t>Albo Shyoh village</t>
  </si>
  <si>
    <t>قرية البوشيوح</t>
  </si>
  <si>
    <t>Noori Al Noman village</t>
  </si>
  <si>
    <t>قرية نوري النومان</t>
  </si>
  <si>
    <t>Albo Awad Village(Albo Khaial)</t>
  </si>
  <si>
    <t>قرية البو عواد(البو خيال)</t>
  </si>
  <si>
    <t>Al-Mashroo Village</t>
  </si>
  <si>
    <t>قرية المشروع</t>
  </si>
  <si>
    <t>Habib Al Khaizaran Village</t>
  </si>
  <si>
    <t>قرية حبيب الخيزران</t>
  </si>
  <si>
    <t>Hamza Al Najim Village</t>
  </si>
  <si>
    <t>قرية حمزة النجم</t>
  </si>
  <si>
    <t>Dalli Abass-Al-Dhobat Qtr</t>
  </si>
  <si>
    <t>دلي عباس-حي الضباط</t>
  </si>
  <si>
    <t>Dalli Abass-Al Shekh Hassan Qtr</t>
  </si>
  <si>
    <t>دلي عباس-حي الشيخ حسن</t>
  </si>
  <si>
    <t>Al Aqssa Village</t>
  </si>
  <si>
    <t>قرية الاقصى</t>
  </si>
  <si>
    <t>Cokchan Village</t>
  </si>
  <si>
    <t>قرية كوكجان</t>
  </si>
  <si>
    <t>Al Gabal village</t>
  </si>
  <si>
    <t>قرية الجبل</t>
  </si>
  <si>
    <t>Dalli Abass-Al Moalmeen Qtr</t>
  </si>
  <si>
    <t>دلي عباس-حي المعلمين</t>
  </si>
  <si>
    <t>Al Jardaniya village</t>
  </si>
  <si>
    <t>قرية الجردانية</t>
  </si>
  <si>
    <t>Albo Ebada Village</t>
  </si>
  <si>
    <t>قرية البو عبادة</t>
  </si>
  <si>
    <t>Sohail Mahal village</t>
  </si>
  <si>
    <t>قرية سهيل محل</t>
  </si>
  <si>
    <t>Al Wadahat Village</t>
  </si>
  <si>
    <t>قرية الوداحات</t>
  </si>
  <si>
    <t>Ali Abdulla village</t>
  </si>
  <si>
    <t>قرية علي العبد الله</t>
  </si>
  <si>
    <t>Al-Arabdah Village</t>
  </si>
  <si>
    <t>قرية العرابضة</t>
  </si>
  <si>
    <t>Bizayiz Sherwin Village</t>
  </si>
  <si>
    <t>قرية بزايز شروين</t>
  </si>
  <si>
    <t>Albo Baker</t>
  </si>
  <si>
    <t>البو بكر</t>
  </si>
  <si>
    <t>Bazaiz Al Mashroo Village</t>
  </si>
  <si>
    <t>قرية بزايز المشروع</t>
  </si>
  <si>
    <t>Al Tholathi village</t>
  </si>
  <si>
    <t>قرية الثلاثي</t>
  </si>
  <si>
    <t>Alwan Al Hadid Village</t>
  </si>
  <si>
    <t>قرية علوان الحديد</t>
  </si>
  <si>
    <t>Mijbas village</t>
  </si>
  <si>
    <t>قرية مجباس</t>
  </si>
  <si>
    <t>Jdhaif Village</t>
  </si>
  <si>
    <t>قرية جضيف</t>
  </si>
  <si>
    <t>Arab yosef Village</t>
  </si>
  <si>
    <t>قرية عرب يوسف</t>
  </si>
  <si>
    <t>Al Askary Qtr</t>
  </si>
  <si>
    <t>Arab Shendi Village</t>
  </si>
  <si>
    <t>قرية عرب شندي</t>
  </si>
  <si>
    <t>Hassan Al Habib village</t>
  </si>
  <si>
    <t>قرية حسن الحبيب</t>
  </si>
  <si>
    <t>Al Shalahmaa Village</t>
  </si>
  <si>
    <t>قرية الشلاهمة</t>
  </si>
  <si>
    <t>Arab Hamdan Village</t>
  </si>
  <si>
    <t>قرية عرب حمدان</t>
  </si>
  <si>
    <t>Al Mansouriyah-Sherween</t>
  </si>
  <si>
    <t>المنصورية-شروين</t>
  </si>
  <si>
    <t>Albo Shmays village</t>
  </si>
  <si>
    <t>قرية قرية البو شميس</t>
  </si>
  <si>
    <t>Albo Tarmish village</t>
  </si>
  <si>
    <t>قرية البو طرميش</t>
  </si>
  <si>
    <t>Al Taleaa Al Thanya Village</t>
  </si>
  <si>
    <t>قرية الطالعة الثانية</t>
  </si>
  <si>
    <t>Al Dwaleeb Village</t>
  </si>
  <si>
    <t>قرية الدواليب</t>
  </si>
  <si>
    <t>Mohammed Ali Village</t>
  </si>
  <si>
    <t>قرية محمد العلي</t>
  </si>
  <si>
    <t>Al Taleaa Al Olaa Village(Albo Rai)</t>
  </si>
  <si>
    <t>قرية الطالعة الاولى(البو ري)</t>
  </si>
  <si>
    <t>Habib Al Abdulla Village</t>
  </si>
  <si>
    <t>قرية حبيب العبدالله</t>
  </si>
  <si>
    <t>Al-Makareen Village</t>
  </si>
  <si>
    <t>قرية المكاريين</t>
  </si>
  <si>
    <t>Mohammed Taha Village</t>
  </si>
  <si>
    <t>قرية محمد طه</t>
  </si>
  <si>
    <t>Al Rabdha village</t>
  </si>
  <si>
    <t>قرية الربضة</t>
  </si>
  <si>
    <t>Al Majara Village</t>
  </si>
  <si>
    <t>قرية المجرة</t>
  </si>
  <si>
    <t>Al Batat village</t>
  </si>
  <si>
    <t>قرية البطات</t>
  </si>
  <si>
    <t>Al Hataween village</t>
  </si>
  <si>
    <t>قرية الهتاوين</t>
  </si>
  <si>
    <t>Albo Hassoni village</t>
  </si>
  <si>
    <t>قرية البوحسوني</t>
  </si>
  <si>
    <t>Hassan Dhayi village</t>
  </si>
  <si>
    <t>قرية حسن ضايع</t>
  </si>
  <si>
    <t>Albo Hnayhen Village</t>
  </si>
  <si>
    <t>قرية البو حنيحن</t>
  </si>
  <si>
    <t>Al Misht Al thaniya-Albo Farhan Village</t>
  </si>
  <si>
    <t>قرية البو فرحان-المشط الثانية</t>
  </si>
  <si>
    <t>Ein Layla village</t>
  </si>
  <si>
    <t>قرية عين ليلى</t>
  </si>
  <si>
    <t>Albo Mohammed Village</t>
  </si>
  <si>
    <t>قرية البو محمد</t>
  </si>
  <si>
    <t>Dawod Al-Salom village</t>
  </si>
  <si>
    <t>قرية داوود السلوم</t>
  </si>
  <si>
    <t>Um Al Karami village</t>
  </si>
  <si>
    <t>قرية ام الكرامي</t>
  </si>
  <si>
    <t>Albo Sabee Village</t>
  </si>
  <si>
    <t>قرية البو سبع</t>
  </si>
  <si>
    <t>Al Kholafa Village</t>
  </si>
  <si>
    <t>قرية الخلفاء</t>
  </si>
  <si>
    <t>Albo mandil village</t>
  </si>
  <si>
    <t>قرية البومنديل</t>
  </si>
  <si>
    <t>Shkej village</t>
  </si>
  <si>
    <t>قرية شكيج</t>
  </si>
  <si>
    <t>Al Hamel Vellage</t>
  </si>
  <si>
    <t>قرية الحمل</t>
  </si>
  <si>
    <t>Al Salaam Village</t>
  </si>
  <si>
    <t>قرية السلام</t>
  </si>
  <si>
    <t>Arab Hafeedh Village</t>
  </si>
  <si>
    <t>قرية عرب حفيظ</t>
  </si>
  <si>
    <t>Al Bayat Village</t>
  </si>
  <si>
    <t>قرية البيات</t>
  </si>
  <si>
    <t>Al Mansouriyah-Hamada Village</t>
  </si>
  <si>
    <t>المنصورية-قرية حماده</t>
  </si>
  <si>
    <t>Dalli Abass-The Old Qtr</t>
  </si>
  <si>
    <t>دلي عباس-الحي القديم</t>
  </si>
  <si>
    <t>Somair village</t>
  </si>
  <si>
    <t>قرية أسمير</t>
  </si>
  <si>
    <t>Sfait village</t>
  </si>
  <si>
    <t>قرية قرية سفيط</t>
  </si>
  <si>
    <t>Albo Nagem Village</t>
  </si>
  <si>
    <t>قرية البو نجم</t>
  </si>
  <si>
    <t>Al-Sadah Village</t>
  </si>
  <si>
    <t>قرية السادة</t>
  </si>
  <si>
    <t>Najim Al Abdulla Village</t>
  </si>
  <si>
    <t>قرية نجم العبد الله</t>
  </si>
  <si>
    <t>Shneef Village</t>
  </si>
  <si>
    <t>قرية شنيف</t>
  </si>
  <si>
    <t>The Old Qtr</t>
  </si>
  <si>
    <t>الحي القديم</t>
  </si>
  <si>
    <t>Al Marfoo Village</t>
  </si>
  <si>
    <t>قرية المرفوع</t>
  </si>
  <si>
    <t>Al Misht Al Ola-Albo Farhan Village</t>
  </si>
  <si>
    <t>قرية البو فرحان-المشط الاولى</t>
  </si>
  <si>
    <t>Al Qalaa Village</t>
  </si>
  <si>
    <t>قرية القلعة</t>
  </si>
  <si>
    <t>Khan Al Qorsa Village</t>
  </si>
  <si>
    <t>قرية خان القرصة</t>
  </si>
  <si>
    <t>Al Wazan Village</t>
  </si>
  <si>
    <t>قرية الوزان</t>
  </si>
  <si>
    <t>Walosh2 village</t>
  </si>
  <si>
    <t>قرية ولوش 2</t>
  </si>
  <si>
    <t>Haj fadhil village</t>
  </si>
  <si>
    <t>قرية حاج فاضل</t>
  </si>
  <si>
    <t>Izham village</t>
  </si>
  <si>
    <t>قرية زحام</t>
  </si>
  <si>
    <t>Mahalat Door Al-Dhubbat</t>
  </si>
  <si>
    <t>محلة دور الضباط</t>
  </si>
  <si>
    <t>Al Jazera Al Thanya village</t>
  </si>
  <si>
    <t>قرية الجزيرة الثانية</t>
  </si>
  <si>
    <t>Arab Dhaher Village</t>
  </si>
  <si>
    <t>قرية عرب ظاهر</t>
  </si>
  <si>
    <t>Al horoob Village</t>
  </si>
  <si>
    <t>قرية الحروب</t>
  </si>
  <si>
    <t>Abo Garma village</t>
  </si>
  <si>
    <t>قرية ابو كرمة</t>
  </si>
  <si>
    <t>Sara Qtr</t>
  </si>
  <si>
    <t>حي ساره</t>
  </si>
  <si>
    <t>Al Abaraa Village</t>
  </si>
  <si>
    <t>قرية العبارة</t>
  </si>
  <si>
    <t>Al Sodoor</t>
  </si>
  <si>
    <t>الصدور</t>
  </si>
  <si>
    <t>Al Oqood Village</t>
  </si>
  <si>
    <t>قرية العقود</t>
  </si>
  <si>
    <t>Al Uroba Qtr</t>
  </si>
  <si>
    <t>حي العروبة</t>
  </si>
  <si>
    <t>Shok Al Reem village</t>
  </si>
  <si>
    <t>قرية شوك الريم</t>
  </si>
  <si>
    <t>Al Sooq Qtr</t>
  </si>
  <si>
    <t>حي السوق</t>
  </si>
  <si>
    <t>Parwana village</t>
  </si>
  <si>
    <t>قرية بروانة</t>
  </si>
  <si>
    <t>Al Tinaira Village</t>
  </si>
  <si>
    <t>قرية الطنيرة</t>
  </si>
  <si>
    <t>Hembes Village</t>
  </si>
  <si>
    <t>قرية حمبس</t>
  </si>
  <si>
    <t>Imam Abbas Village</t>
  </si>
  <si>
    <t>قرية امام عباس</t>
  </si>
  <si>
    <t>Al Shekha Village</t>
  </si>
  <si>
    <t>قرية الشيخة</t>
  </si>
  <si>
    <t>Sinsil Al Wasat Village</t>
  </si>
  <si>
    <t>قرية سنسل الوسط</t>
  </si>
  <si>
    <t>Al Derwish Village</t>
  </si>
  <si>
    <t>قرية الدرويش</t>
  </si>
  <si>
    <t>AlTaiha Qtr</t>
  </si>
  <si>
    <t>قرية التايهة</t>
  </si>
  <si>
    <t>Skheyr village</t>
  </si>
  <si>
    <t>قرية سخير</t>
  </si>
  <si>
    <t>Abo Dihin</t>
  </si>
  <si>
    <t>ابو دهن</t>
  </si>
  <si>
    <t>Al Shamamla Village</t>
  </si>
  <si>
    <t>قرية الشماملة</t>
  </si>
  <si>
    <t>Al Mataar Qtr</t>
  </si>
  <si>
    <t>Nahr Al Shaykh Village</t>
  </si>
  <si>
    <t>قرية نهر الشيخ</t>
  </si>
  <si>
    <t>Al Aali Village</t>
  </si>
  <si>
    <t>قرية العالي</t>
  </si>
  <si>
    <t>Walosh1 village</t>
  </si>
  <si>
    <t>قرية ولوش 1</t>
  </si>
  <si>
    <t>Al Mukhesa village</t>
  </si>
  <si>
    <t>قرية المخيسة</t>
  </si>
  <si>
    <t>Al Igaidat Village</t>
  </si>
  <si>
    <t>قرية العكيدات</t>
  </si>
  <si>
    <t>Al Noor Qtr</t>
  </si>
  <si>
    <t>حي النور</t>
  </si>
  <si>
    <t>Shak Al Rak Village</t>
  </si>
  <si>
    <t>قرية شاق الراق</t>
  </si>
  <si>
    <t>Al Mahata Village</t>
  </si>
  <si>
    <t>قرية المحطة</t>
  </si>
  <si>
    <t>Al Haramsha Village</t>
  </si>
  <si>
    <t>قرية الهرامشة</t>
  </si>
  <si>
    <t>Al Somood Qtr</t>
  </si>
  <si>
    <t>حي الصمود</t>
  </si>
  <si>
    <t>Shamarkhi village</t>
  </si>
  <si>
    <t>قرية شمرخي</t>
  </si>
  <si>
    <t>Al Lihayb Village</t>
  </si>
  <si>
    <t>قرية اللهيب</t>
  </si>
  <si>
    <t>Al Jazera Al Ola Village</t>
  </si>
  <si>
    <t>قرية الجزيرة الاولى</t>
  </si>
  <si>
    <t>Hamada village</t>
  </si>
  <si>
    <t>قرية حمادة</t>
  </si>
  <si>
    <t>Jubtin village</t>
  </si>
  <si>
    <t>قرية جبتين</t>
  </si>
  <si>
    <t>Abu musa village</t>
  </si>
  <si>
    <t>قرية ابو موسى</t>
  </si>
  <si>
    <t>Al-Gawam Village</t>
  </si>
  <si>
    <t>قرية الكوام</t>
  </si>
  <si>
    <t>A Hammadi Village</t>
  </si>
  <si>
    <t>قرية الحمادي</t>
  </si>
  <si>
    <t>Al Isaiwed Village</t>
  </si>
  <si>
    <t>قرية الاسيود</t>
  </si>
  <si>
    <t>Al Sakhar Village</t>
  </si>
  <si>
    <t>قرية الصخر</t>
  </si>
  <si>
    <t>Baloor Village</t>
  </si>
  <si>
    <t>قرية بلور</t>
  </si>
  <si>
    <t>Imam Talib Village</t>
  </si>
  <si>
    <t>قرية امام طالب</t>
  </si>
  <si>
    <t>Bablaan Village</t>
  </si>
  <si>
    <t>قرية بابلان</t>
  </si>
  <si>
    <t>Nofal village</t>
  </si>
  <si>
    <t>قرية نوفل</t>
  </si>
  <si>
    <t>Al-Arda village</t>
  </si>
  <si>
    <t>قرية العردة</t>
  </si>
  <si>
    <t>Al Mithaq Village</t>
  </si>
  <si>
    <t>قرية الميثاق</t>
  </si>
  <si>
    <t>Sodoor Al Ray</t>
  </si>
  <si>
    <t>صدور الري</t>
  </si>
  <si>
    <t>Al Karama Qtr</t>
  </si>
  <si>
    <t>حي الكرامة</t>
  </si>
  <si>
    <t>Al Shaheed Qtr(Al Zohor)</t>
  </si>
  <si>
    <t>حي الشهيد(الزهور)</t>
  </si>
  <si>
    <t>Al Shuhada Qtr Sector 5</t>
  </si>
  <si>
    <t>حي الشهداء قطاع 5</t>
  </si>
  <si>
    <t>Elaimat Village</t>
  </si>
  <si>
    <t>قرية عليمات</t>
  </si>
  <si>
    <t>Al Wehdaa Qtr Sector 4</t>
  </si>
  <si>
    <t>حي الوحدة قطاع 4</t>
  </si>
  <si>
    <t>Al Shuhada Qtr Sector 1</t>
  </si>
  <si>
    <t>حي الشهداء قطاع 1</t>
  </si>
  <si>
    <t>Al Taleaa Qtr ( sector 4 )</t>
  </si>
  <si>
    <t>حي الطليعة ( قطاع 4 )</t>
  </si>
  <si>
    <t>Al Jamahir Qtr Sector 3</t>
  </si>
  <si>
    <t>حي الجماهير قطاع 3</t>
  </si>
  <si>
    <t>Al Husaini Village</t>
  </si>
  <si>
    <t>قرية الحصيني</t>
  </si>
  <si>
    <t>Saad Qtr</t>
  </si>
  <si>
    <t xml:space="preserve">حي سعد </t>
  </si>
  <si>
    <t>Wadi Aosaj Village</t>
  </si>
  <si>
    <t>قرية وادي عوسج</t>
  </si>
  <si>
    <t>Al Oroba Qtr</t>
  </si>
  <si>
    <t>Murjana village</t>
  </si>
  <si>
    <t>قرية مرجانة</t>
  </si>
  <si>
    <t>Al Teneraa Village</t>
  </si>
  <si>
    <t>Koshk Village</t>
  </si>
  <si>
    <t>قرية كشك</t>
  </si>
  <si>
    <t>Al-Khadraa Qtr</t>
  </si>
  <si>
    <t>Al Oroba Qtr Sector 2</t>
  </si>
  <si>
    <t>حي العروبة قطاع 2</t>
  </si>
  <si>
    <t>Small Baheza Village</t>
  </si>
  <si>
    <t>قرية باهيزة الصغيرة</t>
  </si>
  <si>
    <t>Al Shuhada Qtr Sector 2</t>
  </si>
  <si>
    <t>حي الشهداء قطاع 2</t>
  </si>
  <si>
    <t>Al Asakraa village</t>
  </si>
  <si>
    <t>قرية العساكرة</t>
  </si>
  <si>
    <t>Shekh Village</t>
  </si>
  <si>
    <t>قرية شيخ احمد</t>
  </si>
  <si>
    <t>Al Tajneed Qtr</t>
  </si>
  <si>
    <t>حي التجنيد</t>
  </si>
  <si>
    <t>Albo Shaty village</t>
  </si>
  <si>
    <t>قرية البو شاطي</t>
  </si>
  <si>
    <t>Bani weas Village</t>
  </si>
  <si>
    <t>قرية بني ويس</t>
  </si>
  <si>
    <t>Said Ahmed Village</t>
  </si>
  <si>
    <t>قرية سيد احمد</t>
  </si>
  <si>
    <t>Al Taakhi Qtr</t>
  </si>
  <si>
    <t>حي التاخي</t>
  </si>
  <si>
    <t>Al Salaam Qtr</t>
  </si>
  <si>
    <t>Al Taleaa Qtr ( sector 5 )</t>
  </si>
  <si>
    <t>حي الطليعة ( قطاع 5 )</t>
  </si>
  <si>
    <t>Al Jamahir Qtr Sector 6</t>
  </si>
  <si>
    <t>حي الجماهير قطاع 6</t>
  </si>
  <si>
    <t>Diyala Village</t>
  </si>
  <si>
    <t>قرية ديالى</t>
  </si>
  <si>
    <t>Al Rabe Al Olaa Qtr</t>
  </si>
  <si>
    <t>حي الربيع الاولى</t>
  </si>
  <si>
    <t>Al Jamahir Qtr Sector 5</t>
  </si>
  <si>
    <t>حي الجماهير قطاع 5</t>
  </si>
  <si>
    <t>Al Wehdaa Qtr Sector 2</t>
  </si>
  <si>
    <t>حي الوحدة قطاع 2</t>
  </si>
  <si>
    <t>Al Tolaat Village</t>
  </si>
  <si>
    <t>قرية الطولات</t>
  </si>
  <si>
    <t>Al Rabe Al Thaletha Qtr</t>
  </si>
  <si>
    <t>حي الربيع الثالثة</t>
  </si>
  <si>
    <t>Alkhadra Qtr Sector 3</t>
  </si>
  <si>
    <t>حي الخضراء قطاع 3</t>
  </si>
  <si>
    <t>Al Baydha Village</t>
  </si>
  <si>
    <t>قرية البيضاء</t>
  </si>
  <si>
    <t>Saleh Habib Village</t>
  </si>
  <si>
    <t>قرية صالح حبيب</t>
  </si>
  <si>
    <t>Al Taleaa Qtr ( sector 1 )</t>
  </si>
  <si>
    <t>حي الطليعة ( قطاع 1 )</t>
  </si>
  <si>
    <t>Al Jamahir Qtr</t>
  </si>
  <si>
    <t>حي الجماهير</t>
  </si>
  <si>
    <t>Albo Haya village</t>
  </si>
  <si>
    <t>قرية البو حية</t>
  </si>
  <si>
    <t>Al Jamahir Qtr Sector 2</t>
  </si>
  <si>
    <t>حي الجماهير قطاع 2</t>
  </si>
  <si>
    <t>Al Wehdaa Qtr Sector 5</t>
  </si>
  <si>
    <t>حي الوحدة قطاع 5</t>
  </si>
  <si>
    <t>Baheza Village</t>
  </si>
  <si>
    <t>قرية باهيزة</t>
  </si>
  <si>
    <t>Al Zuhairiyah village</t>
  </si>
  <si>
    <t>قرية الزهيرية</t>
  </si>
  <si>
    <t>17Tamooz Qtr ( Al Jaaf )</t>
  </si>
  <si>
    <t>حي 17 تموز ( الجاف )</t>
  </si>
  <si>
    <t>Dhiban Village</t>
  </si>
  <si>
    <t>قرية ذيبان</t>
  </si>
  <si>
    <t>Al Oroba Qtr Sector 3</t>
  </si>
  <si>
    <t>حي العروبة قطاع 3</t>
  </si>
  <si>
    <t>Al Nakheel Village</t>
  </si>
  <si>
    <t>قرية النخيل</t>
  </si>
  <si>
    <t>Al Rabe Al Thaniya Qtr</t>
  </si>
  <si>
    <t>حي الربيع الثانية</t>
  </si>
  <si>
    <t>Al Wehdaa Qtr</t>
  </si>
  <si>
    <t>Al Shuhada Qtr Sector 3</t>
  </si>
  <si>
    <t>حي الشهداء قطاع 3</t>
  </si>
  <si>
    <t>Said Jaber Village</t>
  </si>
  <si>
    <t>قرية سيد جابر</t>
  </si>
  <si>
    <t>Al Taleaa Qtr ( sector 3 )</t>
  </si>
  <si>
    <t>حي الطليعة ( قطاع 3 )</t>
  </si>
  <si>
    <t>Jomila Village</t>
  </si>
  <si>
    <t>قرية جميلة</t>
  </si>
  <si>
    <t>Al Taleaa 2 Qtr ( Al Kelya )</t>
  </si>
  <si>
    <t>حي الطليعة 2 (الكلية)</t>
  </si>
  <si>
    <t>Al Shuhada Qtr Sector 4</t>
  </si>
  <si>
    <t>حي الشهداء قطاع 4</t>
  </si>
  <si>
    <t>Al Torath Village</t>
  </si>
  <si>
    <t>قرية التراث</t>
  </si>
  <si>
    <t>Al Shuhada Qtr Sector 6</t>
  </si>
  <si>
    <t>حي الشهداء قطاع 6</t>
  </si>
  <si>
    <t>Alkhadra Qtr</t>
  </si>
  <si>
    <t>Al Taleaa Qtr ( sector 2 )</t>
  </si>
  <si>
    <t>حي الطليعة ( قطاع 2 )</t>
  </si>
  <si>
    <t>Al Jamahir Qtr Sector 4</t>
  </si>
  <si>
    <t>حي الجماهير قطاع 4</t>
  </si>
  <si>
    <t>AL Chagaat Village</t>
  </si>
  <si>
    <t>قرية الجاغات</t>
  </si>
  <si>
    <t>Al Asree Qtr</t>
  </si>
  <si>
    <t>الحي العصري</t>
  </si>
  <si>
    <t>Al Wehdaa Qtr Sector 3</t>
  </si>
  <si>
    <t>حي الوحدة قطاع 3</t>
  </si>
  <si>
    <t>Alkhadra Qtr Sector 4</t>
  </si>
  <si>
    <t>حي الخضراء قطاع 4</t>
  </si>
  <si>
    <t>Al Israa Qtr</t>
  </si>
  <si>
    <t>حي الاسراء</t>
  </si>
  <si>
    <t>Alkhadra Qtr Sector 2</t>
  </si>
  <si>
    <t>حي الخضراء قطاع 2</t>
  </si>
  <si>
    <t>Albo Geaid Vellage</t>
  </si>
  <si>
    <t>قرية البو كعيد</t>
  </si>
  <si>
    <t>Al Nitham village</t>
  </si>
  <si>
    <t>قرية النظام</t>
  </si>
  <si>
    <t>Shahidan</t>
  </si>
  <si>
    <t>شهيدان</t>
  </si>
  <si>
    <t>Godella</t>
  </si>
  <si>
    <t>كوديلة</t>
  </si>
  <si>
    <t>Dwgirdakan (Haji Hussein)</t>
  </si>
  <si>
    <t>دوكردكان (حاجي حسين)</t>
  </si>
  <si>
    <t>Sernaj Kabeer</t>
  </si>
  <si>
    <t>سرناج كبير</t>
  </si>
  <si>
    <t>Mamel Umran</t>
  </si>
  <si>
    <t>معمل اومران</t>
  </si>
  <si>
    <t>Dusra Bala</t>
  </si>
  <si>
    <t>دوسره بالا</t>
  </si>
  <si>
    <t>Kharbat Khalf</t>
  </si>
  <si>
    <t>خربة خلف</t>
  </si>
  <si>
    <t>Rawala</t>
  </si>
  <si>
    <t>رواله</t>
  </si>
  <si>
    <t>Majidawa</t>
  </si>
  <si>
    <t>ماجداوه</t>
  </si>
  <si>
    <t>Markaz Qaraj</t>
  </si>
  <si>
    <t>مركز قراج</t>
  </si>
  <si>
    <t>Al Kharbani</t>
  </si>
  <si>
    <t>الخرباني</t>
  </si>
  <si>
    <t>Bnari Qara chogh</t>
  </si>
  <si>
    <t>بناري قه ره جوغ</t>
  </si>
  <si>
    <t>Sechala</t>
  </si>
  <si>
    <t>سيجالا</t>
  </si>
  <si>
    <t>Lakijh</t>
  </si>
  <si>
    <t>لاكجه</t>
  </si>
  <si>
    <t>Elyawa</t>
  </si>
  <si>
    <t>علياوه</t>
  </si>
  <si>
    <t>Kabarok</t>
  </si>
  <si>
    <t>كبروك</t>
  </si>
  <si>
    <t>Pungene</t>
  </si>
  <si>
    <t>بونكينه</t>
  </si>
  <si>
    <t>Tal AL-Kheam</t>
  </si>
  <si>
    <t>تل الخيم</t>
  </si>
  <si>
    <t xml:space="preserve">Marwash / Alkhathra </t>
  </si>
  <si>
    <t>مارواش / الخضره</t>
  </si>
  <si>
    <t>Ankawa</t>
  </si>
  <si>
    <t>عينكاوة</t>
  </si>
  <si>
    <t>Salahya</t>
  </si>
  <si>
    <t>صلاحية</t>
  </si>
  <si>
    <t>Abu Sheta</t>
  </si>
  <si>
    <t>ابو شيته</t>
  </si>
  <si>
    <t>Al Naser</t>
  </si>
  <si>
    <t>النصر</t>
  </si>
  <si>
    <t>Shayalah al-Ably</t>
  </si>
  <si>
    <t>شيالة العبلي</t>
  </si>
  <si>
    <t>Kapran</t>
  </si>
  <si>
    <t>كبران</t>
  </si>
  <si>
    <t>Jarallah</t>
  </si>
  <si>
    <t>جار الله</t>
  </si>
  <si>
    <t>Arbuk</t>
  </si>
  <si>
    <t>عربوك</t>
  </si>
  <si>
    <t>khandaq kabir</t>
  </si>
  <si>
    <t>خندق كبير</t>
  </si>
  <si>
    <t>Kultappah</t>
  </si>
  <si>
    <t>كولتبة</t>
  </si>
  <si>
    <t>Sherwany</t>
  </si>
  <si>
    <t>شيرواني</t>
  </si>
  <si>
    <t>Darmenawa</t>
  </si>
  <si>
    <t>درميناوه</t>
  </si>
  <si>
    <t>Jadidah</t>
  </si>
  <si>
    <t>جديده</t>
  </si>
  <si>
    <t>Aziz Abdh</t>
  </si>
  <si>
    <t>عزيز عبده</t>
  </si>
  <si>
    <t>Gardahara</t>
  </si>
  <si>
    <t>كردهاره</t>
  </si>
  <si>
    <t>Gwer</t>
  </si>
  <si>
    <t>كوير</t>
  </si>
  <si>
    <t>Ein Muzan</t>
  </si>
  <si>
    <t>عين موزان</t>
  </si>
  <si>
    <t>Ein Marmiya</t>
  </si>
  <si>
    <t>عين مرمية</t>
  </si>
  <si>
    <t>Dumat Idris</t>
  </si>
  <si>
    <t>دومة ادريس</t>
  </si>
  <si>
    <t>AL Hadiqa</t>
  </si>
  <si>
    <t>الحديقة</t>
  </si>
  <si>
    <t>Khalideya</t>
  </si>
  <si>
    <t>خالدية</t>
  </si>
  <si>
    <t>Kubaiba</t>
  </si>
  <si>
    <t>كبيبة</t>
  </si>
  <si>
    <t>Saray(markez bazar)</t>
  </si>
  <si>
    <t>سراي(مركز بازار)</t>
  </si>
  <si>
    <t>Akrah Fowqani</t>
  </si>
  <si>
    <t>اكرح فوقاني</t>
  </si>
  <si>
    <t>kherbardan</t>
  </si>
  <si>
    <t>خربردان</t>
  </si>
  <si>
    <t xml:space="preserve">Kurdistan </t>
  </si>
  <si>
    <t xml:space="preserve">كوردستان </t>
  </si>
  <si>
    <t>Gamesh Tapa</t>
  </si>
  <si>
    <t>كاميشتبة</t>
  </si>
  <si>
    <t>Kirda Rash</t>
  </si>
  <si>
    <t>كردةرش</t>
  </si>
  <si>
    <t>Gird Grawe</t>
  </si>
  <si>
    <t>كردكراوي</t>
  </si>
  <si>
    <t>Bndiyan</t>
  </si>
  <si>
    <t>بنديان</t>
  </si>
  <si>
    <t>Farmanbaran</t>
  </si>
  <si>
    <t>فرمانبران</t>
  </si>
  <si>
    <t>Shinawah</t>
  </si>
  <si>
    <t>شناوه</t>
  </si>
  <si>
    <t>Bndiyan Garbi</t>
  </si>
  <si>
    <t>بنديان غربي</t>
  </si>
  <si>
    <t>khandaq Saghir</t>
  </si>
  <si>
    <t>خندق صغير</t>
  </si>
  <si>
    <t>Bardi Spi</t>
  </si>
  <si>
    <t>بردي سبي</t>
  </si>
  <si>
    <t>Ali Rash</t>
  </si>
  <si>
    <t>علي رش</t>
  </si>
  <si>
    <t>Gulgamesh</t>
  </si>
  <si>
    <t>كولكاميش</t>
  </si>
  <si>
    <t>Qabr Alsyd</t>
  </si>
  <si>
    <t>قبر السيد</t>
  </si>
  <si>
    <t>Claw Rash</t>
  </si>
  <si>
    <t>كلاورش</t>
  </si>
  <si>
    <t>Tal Al-Reem</t>
  </si>
  <si>
    <t>تل الريم</t>
  </si>
  <si>
    <t>Bashband Kabir</t>
  </si>
  <si>
    <t>باشبند كبير</t>
  </si>
  <si>
    <t>Kurdat Diwanah</t>
  </si>
  <si>
    <t>كردة ديوانه</t>
  </si>
  <si>
    <t>Mahmudea</t>
  </si>
  <si>
    <t>محمودية</t>
  </si>
  <si>
    <t>Qalat</t>
  </si>
  <si>
    <t>قلات</t>
  </si>
  <si>
    <t>Mahana</t>
  </si>
  <si>
    <t>مهانة</t>
  </si>
  <si>
    <t>Tall Ghazal</t>
  </si>
  <si>
    <t>تل غزال</t>
  </si>
  <si>
    <t>Qalat Soran</t>
  </si>
  <si>
    <t>قلات سوران</t>
  </si>
  <si>
    <t>Azi Kand</t>
  </si>
  <si>
    <t>ازي كند</t>
  </si>
  <si>
    <t>Al-Ghaziyah Village</t>
  </si>
  <si>
    <t xml:space="preserve">قرية الغازية </t>
  </si>
  <si>
    <t>Al-Tarqiyah village</t>
  </si>
  <si>
    <t>قرية الطارقية</t>
  </si>
  <si>
    <t>Sader Al-Nahr village</t>
  </si>
  <si>
    <t>قرية صدر النهر</t>
  </si>
  <si>
    <t>Hamdaniya village ( Al-Abassy )</t>
  </si>
  <si>
    <t>قرية الحمدانية ( العباسي )</t>
  </si>
  <si>
    <t>Al-Khaldia</t>
  </si>
  <si>
    <t>قرية الخالدية</t>
  </si>
  <si>
    <t>Al-Sadiyah village</t>
  </si>
  <si>
    <t>قرية السعدية</t>
  </si>
  <si>
    <t>Al-Dibes village</t>
  </si>
  <si>
    <t>قرية الدبس</t>
  </si>
  <si>
    <t>Hay Al-Yarmuk</t>
  </si>
  <si>
    <t>Al-Jamalyia village</t>
  </si>
  <si>
    <t>قرية الجملية</t>
  </si>
  <si>
    <t>Shamitt Village</t>
  </si>
  <si>
    <t>قرية شميط</t>
  </si>
  <si>
    <t>Shajara village</t>
  </si>
  <si>
    <t>قرية الشجرة</t>
  </si>
  <si>
    <t>Namisa Village</t>
  </si>
  <si>
    <t>قرية نميصة</t>
  </si>
  <si>
    <t>Al-Salhaiyah village</t>
  </si>
  <si>
    <t>قرية الصالحية</t>
  </si>
  <si>
    <t>Al-Madhuryia village</t>
  </si>
  <si>
    <t>قرية المظهورية</t>
  </si>
  <si>
    <t>Arisha village</t>
  </si>
  <si>
    <t>قرية عريشة</t>
  </si>
  <si>
    <t>Al Qasimiyah Village</t>
  </si>
  <si>
    <t>قرية القاسمية</t>
  </si>
  <si>
    <t>Bassel Village</t>
  </si>
  <si>
    <t>قرية البسل</t>
  </si>
  <si>
    <t>Al-Mansuriyah (Abu Asshak ) village</t>
  </si>
  <si>
    <t>قرية المنصورية ( البو اسحاك )</t>
  </si>
  <si>
    <t>Al-Khazer village</t>
  </si>
  <si>
    <t>قرية الخازر</t>
  </si>
  <si>
    <t>Aakola village</t>
  </si>
  <si>
    <t>قرية العاكولة</t>
  </si>
  <si>
    <t>Hilwa lower</t>
  </si>
  <si>
    <t>قرية حلوة سفلى</t>
  </si>
  <si>
    <t>Al-Husayniyah village</t>
  </si>
  <si>
    <t>قرية الحسينية</t>
  </si>
  <si>
    <t>Al-Akeidat village</t>
  </si>
  <si>
    <t>Hay Al-Thuora</t>
  </si>
  <si>
    <t>حي الثورة</t>
  </si>
  <si>
    <t>Tall AL-Dhahab ( Ulia ) village</t>
  </si>
  <si>
    <t>قرية تل الذهب ( العليا )</t>
  </si>
  <si>
    <t>Al-riyadh center</t>
  </si>
  <si>
    <t>مركز الرياض</t>
  </si>
  <si>
    <t>Tall Al-Ghul Village</t>
  </si>
  <si>
    <t>قرية تل جول</t>
  </si>
  <si>
    <t>Sobieh village</t>
  </si>
  <si>
    <t>قرية صبيح</t>
  </si>
  <si>
    <t>Al-Wardiya village</t>
  </si>
  <si>
    <t>قرية الوردية</t>
  </si>
  <si>
    <t>Al-Mastah Shineen village</t>
  </si>
  <si>
    <t>قرية مسطاح شنين</t>
  </si>
  <si>
    <t>Braij village</t>
  </si>
  <si>
    <t>قرية بريج</t>
  </si>
  <si>
    <t>Al-abomfraj Village</t>
  </si>
  <si>
    <t>قرية البومفرج</t>
  </si>
  <si>
    <t>Nafilah Village</t>
  </si>
  <si>
    <t>قرية نافلة</t>
  </si>
  <si>
    <t>Hawd Sittah village</t>
  </si>
  <si>
    <t>قرية حوض ستة</t>
  </si>
  <si>
    <t>Al-Tuwairiya village</t>
  </si>
  <si>
    <t>قرية الطويرية</t>
  </si>
  <si>
    <t>Al-Nadaa village</t>
  </si>
  <si>
    <t>قرية النداء</t>
  </si>
  <si>
    <t>Shekh Aesa village</t>
  </si>
  <si>
    <t>قرية الشيخ عيسى</t>
  </si>
  <si>
    <t>Abu-Al-Jaise</t>
  </si>
  <si>
    <t>قرية أبو الجيس</t>
  </si>
  <si>
    <t>Al-Salhaiyah village (Al-Atiya)</t>
  </si>
  <si>
    <t>قرية الصالحية ( العطية )</t>
  </si>
  <si>
    <t>Al Askary</t>
  </si>
  <si>
    <t>Al-Mahdia Village</t>
  </si>
  <si>
    <t>قرية المهدية</t>
  </si>
  <si>
    <t>Al-Faakhra village</t>
  </si>
  <si>
    <t>قرية الفاخرة</t>
  </si>
  <si>
    <t>Al-Mitawkyliyah village</t>
  </si>
  <si>
    <t>قرية المتوكلية</t>
  </si>
  <si>
    <t>Mustafya village</t>
  </si>
  <si>
    <t>قرية المصطافية</t>
  </si>
  <si>
    <t>Khazifi Village</t>
  </si>
  <si>
    <t>قرية الخزيفي</t>
  </si>
  <si>
    <t>Abu Gasa village</t>
  </si>
  <si>
    <t>قرية البو كصة</t>
  </si>
  <si>
    <t>Shalala Village</t>
  </si>
  <si>
    <t>قرية شلالة</t>
  </si>
  <si>
    <t>Aliawa Village</t>
  </si>
  <si>
    <t>قرية علياوة</t>
  </si>
  <si>
    <t>Hallawa village</t>
  </si>
  <si>
    <t>قرية حلاوة</t>
  </si>
  <si>
    <t>Al-Aziziyah Village</t>
  </si>
  <si>
    <t>قرية العزيزية</t>
  </si>
  <si>
    <t>Atira Village</t>
  </si>
  <si>
    <t>قرية عتيرة</t>
  </si>
  <si>
    <t>Helwa Olia</t>
  </si>
  <si>
    <t>قرية حلوة عليا</t>
  </si>
  <si>
    <t>Hilwa middle</t>
  </si>
  <si>
    <t>قرية حلوة وسطى</t>
  </si>
  <si>
    <t>Ranjiya</t>
  </si>
  <si>
    <t>قرية رنجية</t>
  </si>
  <si>
    <t>Al-Rawien village</t>
  </si>
  <si>
    <t>قرية الراويين</t>
  </si>
  <si>
    <t>Darwish village</t>
  </si>
  <si>
    <t>قرية درويش</t>
  </si>
  <si>
    <t>Al-Rabee Village</t>
  </si>
  <si>
    <t>قرية الربيع</t>
  </si>
  <si>
    <t>Sabti Aziz village</t>
  </si>
  <si>
    <t>قرية سبتي عزيز</t>
  </si>
  <si>
    <t>Al-Mansuriyah ( Al-Abazz) village</t>
  </si>
  <si>
    <t>قرية منصورية ( عبز )</t>
  </si>
  <si>
    <t>Al Manzala Village</t>
  </si>
  <si>
    <t>قرية المنزلة</t>
  </si>
  <si>
    <t>Tal ali Village</t>
  </si>
  <si>
    <t>قرية تل علي</t>
  </si>
  <si>
    <t>Bakara Village</t>
  </si>
  <si>
    <t>قرية البكارة</t>
  </si>
  <si>
    <t>Al-Sadr village</t>
  </si>
  <si>
    <t>قرية السدر</t>
  </si>
  <si>
    <t>Al-Qasamiyah village</t>
  </si>
  <si>
    <t>قرية القسامية</t>
  </si>
  <si>
    <t>Hay Al-Nedaa (Hawija)</t>
  </si>
  <si>
    <t>حي النداء (الحويجة)</t>
  </si>
  <si>
    <t>Jadidah Sada village</t>
  </si>
  <si>
    <t>قرية جديدة سادة</t>
  </si>
  <si>
    <t>Al-Jubooria Village</t>
  </si>
  <si>
    <t>قرية الجبورية</t>
  </si>
  <si>
    <t>Al-Mahooz village</t>
  </si>
  <si>
    <t>قرية الماحوز</t>
  </si>
  <si>
    <t>Arsah village</t>
  </si>
  <si>
    <t>قرية عرصة</t>
  </si>
  <si>
    <t>Hay Hateen 2</t>
  </si>
  <si>
    <t>حي حطين 2</t>
  </si>
  <si>
    <t>Wadi Oufiya village</t>
  </si>
  <si>
    <t>قرية وادي عوفية</t>
  </si>
  <si>
    <t>Ash shareaa</t>
  </si>
  <si>
    <t>قرية الشريعة</t>
  </si>
  <si>
    <t>حي دور البستنة-حي السلام-</t>
  </si>
  <si>
    <t>Al-Ubaydiyah</t>
  </si>
  <si>
    <t xml:space="preserve">قرية العبيدية </t>
  </si>
  <si>
    <t>Kadhimiya village</t>
  </si>
  <si>
    <t>قرية الكاظمية</t>
  </si>
  <si>
    <t>Al-MustagbalVillage</t>
  </si>
  <si>
    <t>قرية المستقبل</t>
  </si>
  <si>
    <t>8 Shabahit</t>
  </si>
  <si>
    <t>Ethriban village</t>
  </si>
  <si>
    <t>قرية اذربان</t>
  </si>
  <si>
    <t>Al-Mustafa Village</t>
  </si>
  <si>
    <t>قرية المصطفى</t>
  </si>
  <si>
    <t>Imam ismail</t>
  </si>
  <si>
    <t>قرية امام اسماعيل</t>
  </si>
  <si>
    <t>Al-Khan village</t>
  </si>
  <si>
    <t>قرية الخان</t>
  </si>
  <si>
    <t>Ibrahimia village</t>
  </si>
  <si>
    <t>قرية الابراهيمية</t>
  </si>
  <si>
    <t>Al-Abasiyah Village</t>
  </si>
  <si>
    <t>قرية العباسية</t>
  </si>
  <si>
    <t>Hawd Sabah village</t>
  </si>
  <si>
    <t>حوض سبعة</t>
  </si>
  <si>
    <t>Al-Hawaij village</t>
  </si>
  <si>
    <t>قرية الحوايج</t>
  </si>
  <si>
    <t>Al-Abassy center</t>
  </si>
  <si>
    <t>مركز العباسي</t>
  </si>
  <si>
    <t>Amina Village</t>
  </si>
  <si>
    <t>قرية الامينية</t>
  </si>
  <si>
    <t>Digail Village</t>
  </si>
  <si>
    <t>قرية دغيلة</t>
  </si>
  <si>
    <t>Qarishiya village</t>
  </si>
  <si>
    <t>قرية القريشية</t>
  </si>
  <si>
    <t>Hay Hateen</t>
  </si>
  <si>
    <t>حي حطين</t>
  </si>
  <si>
    <t>Hay Al-Hurriyah ( Al-Hawija )</t>
  </si>
  <si>
    <t>حي الحرية ( الحويجة )</t>
  </si>
  <si>
    <t>Al Mahmodiya</t>
  </si>
  <si>
    <t>قرية المحمودية</t>
  </si>
  <si>
    <t>Al-Kyfah village</t>
  </si>
  <si>
    <t>قرية الكفاح</t>
  </si>
  <si>
    <t>Aliya Village</t>
  </si>
  <si>
    <t>قرية عالية</t>
  </si>
  <si>
    <t>Tall AL-Dhahab ( As-Sufla ) village</t>
  </si>
  <si>
    <t>قرية تل الذهب ( سفلى )</t>
  </si>
  <si>
    <t>Jafariyah village</t>
  </si>
  <si>
    <t>قرية الجعفرية</t>
  </si>
  <si>
    <t>Oufiya village</t>
  </si>
  <si>
    <t>قرية عوفية</t>
  </si>
  <si>
    <t>Noasheen Sadda village</t>
  </si>
  <si>
    <t>قرية نويشين سادة</t>
  </si>
  <si>
    <t>Um Al-Duniya village</t>
  </si>
  <si>
    <t>قرية ام الدنيا</t>
  </si>
  <si>
    <t>Hay Al-Qada</t>
  </si>
  <si>
    <t>حي القادة</t>
  </si>
  <si>
    <t>Shamllan village</t>
  </si>
  <si>
    <t>قرية شملان</t>
  </si>
  <si>
    <t>Syd Jalal village</t>
  </si>
  <si>
    <t>قرية سيد جلال</t>
  </si>
  <si>
    <t>Al-Marbae village</t>
  </si>
  <si>
    <t>قرية المربع</t>
  </si>
  <si>
    <t>Al-Oyoun village</t>
  </si>
  <si>
    <t>قرية العيون</t>
  </si>
  <si>
    <t>Hay Al-Awan</t>
  </si>
  <si>
    <t>حي الاعوان</t>
  </si>
  <si>
    <t>Al-Aythat village</t>
  </si>
  <si>
    <t>قرية العيثات</t>
  </si>
  <si>
    <t>Hay Al-Nasir ( Hawija )</t>
  </si>
  <si>
    <t>حي النصر (الحويجة)</t>
  </si>
  <si>
    <t>Izeri Suflaa village</t>
  </si>
  <si>
    <t>قرية عزيري سفلى</t>
  </si>
  <si>
    <t>Al-Khan Al-Jadeed  village</t>
  </si>
  <si>
    <t xml:space="preserve">قرية الخان الجديد </t>
  </si>
  <si>
    <t>Lazaga</t>
  </si>
  <si>
    <t>قرية لزاكة</t>
  </si>
  <si>
    <t>Al-Khatoonia</t>
  </si>
  <si>
    <t>قرية الخاتونية</t>
  </si>
  <si>
    <t>Al-Quds village</t>
  </si>
  <si>
    <t>قرية القدس</t>
  </si>
  <si>
    <t>Shawook</t>
  </si>
  <si>
    <t>قرية شاووك</t>
  </si>
  <si>
    <t>Zrariya</t>
  </si>
  <si>
    <t>قرية زرارية</t>
  </si>
  <si>
    <t>Al-Musanaa village</t>
  </si>
  <si>
    <t>قرية المصنعة</t>
  </si>
  <si>
    <t>Izeri Ghurbi village</t>
  </si>
  <si>
    <t>قرية عزيري غربي</t>
  </si>
  <si>
    <t>Hay Al Saray</t>
  </si>
  <si>
    <t>حي السراي</t>
  </si>
  <si>
    <t>Sabbaghiya</t>
  </si>
  <si>
    <t>قرية صباغية</t>
  </si>
  <si>
    <t>Al-Mashruae village</t>
  </si>
  <si>
    <t>Al-Zahidiyah Village</t>
  </si>
  <si>
    <t>قرية الزهدية</t>
  </si>
  <si>
    <t>Al-Namalah village</t>
  </si>
  <si>
    <t>قرية نملة</t>
  </si>
  <si>
    <t>Al-Mahafif village</t>
  </si>
  <si>
    <t>قرية المهافيف</t>
  </si>
  <si>
    <t>Khubaza rek village</t>
  </si>
  <si>
    <t>قرية خبازة ريك</t>
  </si>
  <si>
    <t>Al-zab</t>
  </si>
  <si>
    <t>مركز ناحية الزاب</t>
  </si>
  <si>
    <t>Howr Al-Sufen village</t>
  </si>
  <si>
    <t>قرية هور السفن</t>
  </si>
  <si>
    <t>Al-Rasoulyia village</t>
  </si>
  <si>
    <t>قرية الرسولية</t>
  </si>
  <si>
    <t>Al-Farouk Village</t>
  </si>
  <si>
    <t>قرية الفاروق</t>
  </si>
  <si>
    <t>Hay Al-Qusoor</t>
  </si>
  <si>
    <t>حي القصور</t>
  </si>
  <si>
    <t>Qabzoua Village</t>
  </si>
  <si>
    <t xml:space="preserve">قرية قبزوعة </t>
  </si>
  <si>
    <t>Al-Ahnaf village</t>
  </si>
  <si>
    <t>قرية الاحنف</t>
  </si>
  <si>
    <t>Qadissiya-101</t>
  </si>
  <si>
    <t>حي القادسية 101</t>
  </si>
  <si>
    <t>Gharib village</t>
  </si>
  <si>
    <t>قرية غريب</t>
  </si>
  <si>
    <t>Al-Eisalaniyah Village</t>
  </si>
  <si>
    <t>قرية العيصلانية</t>
  </si>
  <si>
    <t>Um Gaseir village</t>
  </si>
  <si>
    <t xml:space="preserve">قرية أم كصير </t>
  </si>
  <si>
    <t xml:space="preserve">Al-Romana village </t>
  </si>
  <si>
    <t>قرية الرمانة</t>
  </si>
  <si>
    <t>Qutan village</t>
  </si>
  <si>
    <t>قرية قوتان</t>
  </si>
  <si>
    <t>Hay Rabareen</t>
  </si>
  <si>
    <t>حي رابرين</t>
  </si>
  <si>
    <t>Hay Al-Shuhadaa</t>
  </si>
  <si>
    <t>Hay Kurdistan</t>
  </si>
  <si>
    <t>حي كوردستان</t>
  </si>
  <si>
    <t>Altun Kupri Center</t>
  </si>
  <si>
    <t>مركز ناحية التون كوبري</t>
  </si>
  <si>
    <t>Hay Diyarbakir</t>
  </si>
  <si>
    <t>حي دياربكر</t>
  </si>
  <si>
    <t>Hay Al-Kahrabaa</t>
  </si>
  <si>
    <t>حي الكهرباء</t>
  </si>
  <si>
    <t>Qashqaiyah village</t>
  </si>
  <si>
    <t>قرية قوشقاية</t>
  </si>
  <si>
    <t>Hay Runaki / Daquq</t>
  </si>
  <si>
    <t>حي روناكي \ داقوق</t>
  </si>
  <si>
    <t>Bashir village</t>
  </si>
  <si>
    <t>قرية بشير</t>
  </si>
  <si>
    <t>Khaled bin Waleed village</t>
  </si>
  <si>
    <t>قرية خالد بن الوليد</t>
  </si>
  <si>
    <t>Jadidah village\Daquq</t>
  </si>
  <si>
    <t>قرية جديدة/داقوق</t>
  </si>
  <si>
    <t>Badawa</t>
  </si>
  <si>
    <t>بداوة</t>
  </si>
  <si>
    <t>Salihi village</t>
  </si>
  <si>
    <t>قرية الصالحي</t>
  </si>
  <si>
    <t>Nawroz</t>
  </si>
  <si>
    <t>حي نوروز</t>
  </si>
  <si>
    <t>Saad Bin Waqqas village</t>
  </si>
  <si>
    <t>قرية سعد بن الوقاص</t>
  </si>
  <si>
    <t>Arab Koy village</t>
  </si>
  <si>
    <t>قرية عرب كوي</t>
  </si>
  <si>
    <t>Hay Ashti</t>
  </si>
  <si>
    <t>حي آشتي</t>
  </si>
  <si>
    <t>Furqan village</t>
  </si>
  <si>
    <t>قرية الفرقان</t>
  </si>
  <si>
    <t>Albu Mahammad</t>
  </si>
  <si>
    <t>Fareeq Awa</t>
  </si>
  <si>
    <t>حي فريق اوه</t>
  </si>
  <si>
    <t>Tarjil village</t>
  </si>
  <si>
    <t>قرية ترجيل</t>
  </si>
  <si>
    <t>Qara Hanjeer center</t>
  </si>
  <si>
    <t>مركز قرة هنجير</t>
  </si>
  <si>
    <t>Mariam Beg Village</t>
  </si>
  <si>
    <t>قرية مريم بيك</t>
  </si>
  <si>
    <t>Wahda village</t>
  </si>
  <si>
    <t>قرية الوحدة</t>
  </si>
  <si>
    <t>Hay Gulan</t>
  </si>
  <si>
    <t>حي كولان</t>
  </si>
  <si>
    <t>Karakstanvillage</t>
  </si>
  <si>
    <t>قرية كركستان</t>
  </si>
  <si>
    <t>Khala Bazyani</t>
  </si>
  <si>
    <t>خاله بازياني</t>
  </si>
  <si>
    <t>Balkanah village</t>
  </si>
  <si>
    <t>قرية بلكانة</t>
  </si>
  <si>
    <t>Adris khazal</t>
  </si>
  <si>
    <t>ادريس خزعل</t>
  </si>
  <si>
    <t>Hay Al mas</t>
  </si>
  <si>
    <t>حي الماس</t>
  </si>
  <si>
    <t>Hay Al-Askary 2</t>
  </si>
  <si>
    <t>حي العسكري 2</t>
  </si>
  <si>
    <t>Al-Qadisssiya(Rabareen) seconad</t>
  </si>
  <si>
    <t>حي الانتفاضة-رابرين-(القادسية سابقا) ثاني</t>
  </si>
  <si>
    <t>Darwaza</t>
  </si>
  <si>
    <t>دروازة</t>
  </si>
  <si>
    <t>Hay Musalla</t>
  </si>
  <si>
    <t>حي المصلى</t>
  </si>
  <si>
    <t>Qwaz Arab village</t>
  </si>
  <si>
    <t xml:space="preserve">قرية كواز عرب </t>
  </si>
  <si>
    <t>Panja Ali</t>
  </si>
  <si>
    <t>بنجه علي</t>
  </si>
  <si>
    <t>Al Sharifiyah village</t>
  </si>
  <si>
    <t>قرية الشريفية</t>
  </si>
  <si>
    <t>Al Hendia</t>
  </si>
  <si>
    <t>قرية الهندية</t>
  </si>
  <si>
    <t>Al-Sakhra village</t>
  </si>
  <si>
    <t>قرية الصخرة</t>
  </si>
  <si>
    <t>Al Tadamon(Hawkari)</t>
  </si>
  <si>
    <t>حي التضامن-هاوكاري-</t>
  </si>
  <si>
    <t>Shwan Center</t>
  </si>
  <si>
    <t>مركز ناحية شوان</t>
  </si>
  <si>
    <t>Hay Al-Nasir 2</t>
  </si>
  <si>
    <t>حي النصر 2</t>
  </si>
  <si>
    <t>Hay Arafah 201</t>
  </si>
  <si>
    <t>عرفة</t>
  </si>
  <si>
    <t>Amal al shaabi</t>
  </si>
  <si>
    <t>حي العمل الشعبي</t>
  </si>
  <si>
    <t>Sary Kahya</t>
  </si>
  <si>
    <t>حي صاري كهيه</t>
  </si>
  <si>
    <t>Teeba village</t>
  </si>
  <si>
    <t>قرية طيبة</t>
  </si>
  <si>
    <t>Al Faylaq-Mahala 5</t>
  </si>
  <si>
    <t>حي الفيلق-5</t>
  </si>
  <si>
    <t>Baglar</t>
  </si>
  <si>
    <t>حي بكلر</t>
  </si>
  <si>
    <t>Idris khabbaz</t>
  </si>
  <si>
    <t>ادريس خباز</t>
  </si>
  <si>
    <t>Sekanyan</t>
  </si>
  <si>
    <t>سيكانيان</t>
  </si>
  <si>
    <t>Al-Qadisssiya(Rabareen) first</t>
  </si>
  <si>
    <t>حي الانتفاضة-رابرين-(القادسية سابقا) اول</t>
  </si>
  <si>
    <t>Hay Al-Askary 1</t>
  </si>
  <si>
    <t>حي العسكري 1</t>
  </si>
  <si>
    <t>Al Taakhi</t>
  </si>
  <si>
    <t>حي التأخي</t>
  </si>
  <si>
    <t>Runaki</t>
  </si>
  <si>
    <t>حي روناكي</t>
  </si>
  <si>
    <t>Hay 1 Athar</t>
  </si>
  <si>
    <t>حي 1 اذار</t>
  </si>
  <si>
    <t>Hay Al-Urooba</t>
  </si>
  <si>
    <t>Hay Azadi</t>
  </si>
  <si>
    <t>حي ازادي</t>
  </si>
  <si>
    <t>Al Maratah</t>
  </si>
  <si>
    <t>قرية مراطة</t>
  </si>
  <si>
    <t>Hay Ghurnata</t>
  </si>
  <si>
    <t>حي غرناطة</t>
  </si>
  <si>
    <t>Hay Al Nassir</t>
  </si>
  <si>
    <t>Al-Dookmat Al-Kabira village</t>
  </si>
  <si>
    <t>قرية الدوكمات الكبيرة</t>
  </si>
  <si>
    <t>Puiter village</t>
  </si>
  <si>
    <t>قرية بويتر</t>
  </si>
  <si>
    <t>Hay Rasheed(Domiz)</t>
  </si>
  <si>
    <t>حي الرشيد-دوميز-</t>
  </si>
  <si>
    <t>Karha Rufaiaa village</t>
  </si>
  <si>
    <t>قرية كرحة رفيعة</t>
  </si>
  <si>
    <t>Al Hurriyah</t>
  </si>
  <si>
    <t>حي الحرية</t>
  </si>
  <si>
    <t>Mala Abdullah village</t>
  </si>
  <si>
    <t xml:space="preserve">قرية ملا عبدالله </t>
  </si>
  <si>
    <t>Shorawo</t>
  </si>
  <si>
    <t>شوراو</t>
  </si>
  <si>
    <t>Brima village</t>
  </si>
  <si>
    <t>قرية بريمة</t>
  </si>
  <si>
    <t>Rahim Awa</t>
  </si>
  <si>
    <t>رحيم اوه</t>
  </si>
  <si>
    <t>Al-Rashad center</t>
  </si>
  <si>
    <t>مركز الرشاد</t>
  </si>
  <si>
    <t>Maktab Khaled village</t>
  </si>
  <si>
    <t>قرية مكتب خالد</t>
  </si>
  <si>
    <t>Al-Sahrej</t>
  </si>
  <si>
    <t>الصهريج</t>
  </si>
  <si>
    <t>Kania Avdo</t>
  </si>
  <si>
    <t>كانيا عفدو</t>
  </si>
  <si>
    <t>Al-Thawra</t>
  </si>
  <si>
    <t>حي الثوره</t>
  </si>
  <si>
    <t>Al jaberea</t>
  </si>
  <si>
    <t>الجابريه</t>
  </si>
  <si>
    <t xml:space="preserve"> Al Intisar</t>
  </si>
  <si>
    <t>Alsmood</t>
  </si>
  <si>
    <t>Jwar-Algharbiya</t>
  </si>
  <si>
    <t>جوار الغربية</t>
  </si>
  <si>
    <t>Rajm Al-botha</t>
  </si>
  <si>
    <t>رجم البوثة</t>
  </si>
  <si>
    <t>Albadiah</t>
  </si>
  <si>
    <t>مجمع البادية</t>
  </si>
  <si>
    <t>Al hurrira</t>
  </si>
  <si>
    <t>الحريره</t>
  </si>
  <si>
    <t>Alqadisya</t>
  </si>
  <si>
    <t>حي القادسيه</t>
  </si>
  <si>
    <t>Mujamaa Al-Saakar</t>
  </si>
  <si>
    <t>مجمع الصكار</t>
  </si>
  <si>
    <t>Al-Yarmuk</t>
  </si>
  <si>
    <t>Al hamoo</t>
  </si>
  <si>
    <t>الحمو</t>
  </si>
  <si>
    <t>Sibaya Village</t>
  </si>
  <si>
    <t>قرية سيباية</t>
  </si>
  <si>
    <t>Ahwedar</t>
  </si>
  <si>
    <t>أحويدر</t>
  </si>
  <si>
    <t>Tal Khalil</t>
  </si>
  <si>
    <t>تل خليل</t>
  </si>
  <si>
    <t>Al-salehia vIllage</t>
  </si>
  <si>
    <t xml:space="preserve">قرية الصالحية </t>
  </si>
  <si>
    <t>Julaimid</t>
  </si>
  <si>
    <t>جليميد</t>
  </si>
  <si>
    <t>Kharab Sorek</t>
  </si>
  <si>
    <t>خراب سورك</t>
  </si>
  <si>
    <t>um juar</t>
  </si>
  <si>
    <t>ام اجوار</t>
  </si>
  <si>
    <t>AL-Hamdania</t>
  </si>
  <si>
    <t xml:space="preserve">مجمع الحمدانية </t>
  </si>
  <si>
    <t>Al-Dubaat</t>
  </si>
  <si>
    <t>Hateen</t>
  </si>
  <si>
    <t>Zeravki</t>
  </si>
  <si>
    <t>زرافكي</t>
  </si>
  <si>
    <t>Til al khnam village</t>
  </si>
  <si>
    <t>قرية تل غنم</t>
  </si>
  <si>
    <t>Wardeya</t>
  </si>
  <si>
    <t>قرية وردية</t>
  </si>
  <si>
    <t>kirbat al Debah</t>
  </si>
  <si>
    <t>خربة الذيبه</t>
  </si>
  <si>
    <t>al mahmodyah</t>
  </si>
  <si>
    <t>المحموديه</t>
  </si>
  <si>
    <t>Al-Rashediyah</t>
  </si>
  <si>
    <t>الرشيدية</t>
  </si>
  <si>
    <t>Maisaloun</t>
  </si>
  <si>
    <t>مجمع ميسلون</t>
  </si>
  <si>
    <t>Al-Risalah</t>
  </si>
  <si>
    <t>حي الرساله</t>
  </si>
  <si>
    <t>Beer almalih</t>
  </si>
  <si>
    <t>بئر المالح</t>
  </si>
  <si>
    <t>Al-zoman</t>
  </si>
  <si>
    <t>الزومان</t>
  </si>
  <si>
    <t>Alshuhadaa</t>
  </si>
  <si>
    <t>Abu-Rasen</t>
  </si>
  <si>
    <t>ابو راسين</t>
  </si>
  <si>
    <t>Karaba Alkurna Village</t>
  </si>
  <si>
    <t>قرية خراب العرنة</t>
  </si>
  <si>
    <t>Al-Swejen</t>
  </si>
  <si>
    <t>السويجين</t>
  </si>
  <si>
    <t>Sheekht Al-Majfal Village</t>
  </si>
  <si>
    <t xml:space="preserve">قرية شيخة المجفل </t>
  </si>
  <si>
    <t>mushirfa Al kuffa</t>
  </si>
  <si>
    <t>مشيرفه الكوفه</t>
  </si>
  <si>
    <t>Muafaqiyah village</t>
  </si>
  <si>
    <t>قرية الموفقيه</t>
  </si>
  <si>
    <t>Sayyid Hamad village</t>
  </si>
  <si>
    <t>قرية سيد حمد</t>
  </si>
  <si>
    <t>Al-Salamiyah Village</t>
  </si>
  <si>
    <t>قرية السلامية</t>
  </si>
  <si>
    <t>Muftiya Village</t>
  </si>
  <si>
    <t xml:space="preserve">فرية المفتية </t>
  </si>
  <si>
    <t>Shahrazad Village</t>
  </si>
  <si>
    <t>قرية شهرزاد</t>
  </si>
  <si>
    <t>Karamless</t>
  </si>
  <si>
    <t>كرمليس</t>
  </si>
  <si>
    <t>Al-Zahraa complex</t>
  </si>
  <si>
    <t>مجمع الزهراء</t>
  </si>
  <si>
    <t>Knehash Village</t>
  </si>
  <si>
    <t>قرية كنهش</t>
  </si>
  <si>
    <t>Namroud center</t>
  </si>
  <si>
    <t>مركز نمرود</t>
  </si>
  <si>
    <t>Ali Rash Village</t>
  </si>
  <si>
    <t>قرية علي رش</t>
  </si>
  <si>
    <t>Basakhrah Village</t>
  </si>
  <si>
    <t>قرية باصخرة</t>
  </si>
  <si>
    <t>Ibrahim Alkhalil Village</t>
  </si>
  <si>
    <t>قرية ابراهيم الخليل</t>
  </si>
  <si>
    <t>Badna Villaga 1</t>
  </si>
  <si>
    <t>قرية بدنه الكبير</t>
  </si>
  <si>
    <t>Qara Shour</t>
  </si>
  <si>
    <t>قرية قرة شور</t>
  </si>
  <si>
    <t>Al-ghadeer complex</t>
  </si>
  <si>
    <t>مجمع الغدير</t>
  </si>
  <si>
    <t>Qretakh Village</t>
  </si>
  <si>
    <t>قرية قريتاغ</t>
  </si>
  <si>
    <t>Alak Village</t>
  </si>
  <si>
    <t>قرية الك</t>
  </si>
  <si>
    <t>Bartalla center</t>
  </si>
  <si>
    <t>مركز ناحية برطله</t>
  </si>
  <si>
    <t>Wardak</t>
  </si>
  <si>
    <t>وردك</t>
  </si>
  <si>
    <t>Abzakh Village</t>
  </si>
  <si>
    <t>قرية أبزخ</t>
  </si>
  <si>
    <t>Kharabat sultan village</t>
  </si>
  <si>
    <t>قرية خرابة سلطان</t>
  </si>
  <si>
    <t>Tiba complex</t>
  </si>
  <si>
    <t>مجمع طيبه</t>
  </si>
  <si>
    <t>Tawagna Village</t>
  </si>
  <si>
    <t>قرية الطواجنة</t>
  </si>
  <si>
    <t>Majediay</t>
  </si>
  <si>
    <t>مجيدية</t>
  </si>
  <si>
    <t>Saif Dinan Village</t>
  </si>
  <si>
    <t>قرية سيف دينان</t>
  </si>
  <si>
    <t>Blawat Village</t>
  </si>
  <si>
    <t xml:space="preserve">قرية بلاوات </t>
  </si>
  <si>
    <t>Mnara Shabak Village</t>
  </si>
  <si>
    <t>قرية مناره الشبك</t>
  </si>
  <si>
    <t>Bazgirtan Village</t>
  </si>
  <si>
    <t xml:space="preserve">قرية بازكرتان </t>
  </si>
  <si>
    <t>Omar Mandan Village</t>
  </si>
  <si>
    <t>قرية عمر مندان</t>
  </si>
  <si>
    <t>khwetlah Village</t>
  </si>
  <si>
    <t>قرية خويتله</t>
  </si>
  <si>
    <t>Shiek Ameer Village</t>
  </si>
  <si>
    <t xml:space="preserve">قرية شيخ امير </t>
  </si>
  <si>
    <t>Shaquli village</t>
  </si>
  <si>
    <t>قرية شاقولي</t>
  </si>
  <si>
    <t>Al-Adla Village</t>
  </si>
  <si>
    <t>قرية العدلة</t>
  </si>
  <si>
    <t>Jlewkhan village</t>
  </si>
  <si>
    <t>قرية جليوخان</t>
  </si>
  <si>
    <t>Bashbita Village</t>
  </si>
  <si>
    <t>قرية باشبيتا</t>
  </si>
  <si>
    <t>Badna Villaga 2</t>
  </si>
  <si>
    <t>قرية بدنه الصغير</t>
  </si>
  <si>
    <t>Kezkan</t>
  </si>
  <si>
    <t>كزكان</t>
  </si>
  <si>
    <t>Asthih Village</t>
  </si>
  <si>
    <t>قرية أسطيح</t>
  </si>
  <si>
    <t>Qarqashah Village</t>
  </si>
  <si>
    <t>قرية قرقشة</t>
  </si>
  <si>
    <t>Shanf Village</t>
  </si>
  <si>
    <t>قرية شنف</t>
  </si>
  <si>
    <t>Kubaiba village</t>
  </si>
  <si>
    <t>قرية كبيبة</t>
  </si>
  <si>
    <t>Omar Kan Village</t>
  </si>
  <si>
    <t>قرية عمر كان</t>
  </si>
  <si>
    <t>Zahrar Khatoun Village</t>
  </si>
  <si>
    <t>قريه زهره خاتون</t>
  </si>
  <si>
    <t>Shamsiat Village</t>
  </si>
  <si>
    <t>قرية الشمسيات</t>
  </si>
  <si>
    <t>Tobruk Ziara 1</t>
  </si>
  <si>
    <t>قرية طبرق زيارة 1</t>
  </si>
  <si>
    <t>Knehash 2 Village</t>
  </si>
  <si>
    <t>قرية كنهش الصغير</t>
  </si>
  <si>
    <t>Tal Al-Laban</t>
  </si>
  <si>
    <t>تل اللبن</t>
  </si>
  <si>
    <t>Qarataba Arab Village</t>
  </si>
  <si>
    <t>قرية قرتبه عرب</t>
  </si>
  <si>
    <t>Tobruk Ziara 2 Village</t>
  </si>
  <si>
    <t xml:space="preserve">قرية طبرق زيارة قديم </t>
  </si>
  <si>
    <t>Tarjlla Village</t>
  </si>
  <si>
    <t xml:space="preserve">قرية ترجلة </t>
  </si>
  <si>
    <t>Kabarly Village</t>
  </si>
  <si>
    <t xml:space="preserve">قرية كبرلي </t>
  </si>
  <si>
    <t>Bahrah</t>
  </si>
  <si>
    <t xml:space="preserve">بحره </t>
  </si>
  <si>
    <t>Khazna Tappa</t>
  </si>
  <si>
    <t>خزنة تبة</t>
  </si>
  <si>
    <t>Qaraqosh</t>
  </si>
  <si>
    <t>قره قوش</t>
  </si>
  <si>
    <t>Tahrawa Village</t>
  </si>
  <si>
    <t>قرية طهراوة</t>
  </si>
  <si>
    <t>Sheikh Milwan Village</t>
  </si>
  <si>
    <t>قرية شيخ ملوان</t>
  </si>
  <si>
    <t>Taq Mekail</t>
  </si>
  <si>
    <t>قرية طاق ميكائيل</t>
  </si>
  <si>
    <t>Nargizlia Village</t>
  </si>
  <si>
    <t>قرية نركزلية</t>
  </si>
  <si>
    <t>Ketk Village</t>
  </si>
  <si>
    <t>قرية كيتك</t>
  </si>
  <si>
    <t>Small Rikaba Village</t>
  </si>
  <si>
    <t>قرية ركابة صغيرة</t>
  </si>
  <si>
    <t>Chirghan Village</t>
  </si>
  <si>
    <t>قرية جرغان</t>
  </si>
  <si>
    <t>Taq Harb</t>
  </si>
  <si>
    <t>قرية طاق حرب</t>
  </si>
  <si>
    <t>Big Rikaba Village</t>
  </si>
  <si>
    <t>قرية ركابة كبيرة</t>
  </si>
  <si>
    <t>buthah alrakei Village</t>
  </si>
  <si>
    <t>بوثة الركعي</t>
  </si>
  <si>
    <t>Al-maflakah alshemalea Village</t>
  </si>
  <si>
    <t>قرية المفلكة الشمالية</t>
  </si>
  <si>
    <t>Um alshaten Village</t>
  </si>
  <si>
    <t>قرية ام الشطن</t>
  </si>
  <si>
    <t>albaeiran</t>
  </si>
  <si>
    <t>قرية البعيران</t>
  </si>
  <si>
    <t>alsafawiu</t>
  </si>
  <si>
    <t>قرية الصفاوي</t>
  </si>
  <si>
    <t>Ghioa Village</t>
  </si>
  <si>
    <t>قرية كهيوة</t>
  </si>
  <si>
    <t>Medan kli Gnobia village</t>
  </si>
  <si>
    <t>قرية ميدان قلي جنوبية</t>
  </si>
  <si>
    <t>Hamuwd aleabd aleaziz</t>
  </si>
  <si>
    <t>قرية حمود العبد العزيز</t>
  </si>
  <si>
    <t>Al faisaliah</t>
  </si>
  <si>
    <t xml:space="preserve">قرية الفيصلية </t>
  </si>
  <si>
    <t>Mmdoh Al-hassan Village</t>
  </si>
  <si>
    <t>قرية ممدوح الحسان</t>
  </si>
  <si>
    <t>Al-Amilah Village</t>
  </si>
  <si>
    <t>قرية الاميلح</t>
  </si>
  <si>
    <t>khwetla village</t>
  </si>
  <si>
    <t>قرية خويتلة</t>
  </si>
  <si>
    <t>Mashuj</t>
  </si>
  <si>
    <t>قرية مسهوج</t>
  </si>
  <si>
    <t>Alsilal</t>
  </si>
  <si>
    <t>قرية الصلال</t>
  </si>
  <si>
    <t>Abu alhaf village</t>
  </si>
  <si>
    <t xml:space="preserve">قرية ابو الحاف </t>
  </si>
  <si>
    <t>Al-Asraj Village</t>
  </si>
  <si>
    <t>قرية الاسرج</t>
  </si>
  <si>
    <t>Estielah Village</t>
  </si>
  <si>
    <t>قرية اسطيلة</t>
  </si>
  <si>
    <t>Malhat al bakarah</t>
  </si>
  <si>
    <t>قرية مالحة البكارة</t>
  </si>
  <si>
    <t>almaflakat aljanubah Village</t>
  </si>
  <si>
    <t xml:space="preserve">قرية مفلكة  الجنوبية </t>
  </si>
  <si>
    <t>Tal eujur yaseen</t>
  </si>
  <si>
    <t>قرية تل عجور ياسين</t>
  </si>
  <si>
    <t>Mreka Village</t>
  </si>
  <si>
    <t>قرية مريكة</t>
  </si>
  <si>
    <t>Alwan</t>
  </si>
  <si>
    <t>قرية العلوان</t>
  </si>
  <si>
    <t>Altarkumaniah Aljanubiah</t>
  </si>
  <si>
    <t xml:space="preserve">قرية التركمانية الجنوبية </t>
  </si>
  <si>
    <t>Mlihta Al-Shrqia Village</t>
  </si>
  <si>
    <t>قرية مليحة الشرقية</t>
  </si>
  <si>
    <t>Muslatin</t>
  </si>
  <si>
    <t>قرية المسلطن</t>
  </si>
  <si>
    <t>Khobaz Village</t>
  </si>
  <si>
    <t>قرية خبازة</t>
  </si>
  <si>
    <t>Al madenah Village</t>
  </si>
  <si>
    <t>قرية المدينة</t>
  </si>
  <si>
    <t>Abu sanam janubi iVillage</t>
  </si>
  <si>
    <t>قرية ابو سنام جنوبي</t>
  </si>
  <si>
    <t>khaznah gharbiah village</t>
  </si>
  <si>
    <t xml:space="preserve">قرية خزنة غربية </t>
  </si>
  <si>
    <t>Alhiani village</t>
  </si>
  <si>
    <t xml:space="preserve">قرية الحياني </t>
  </si>
  <si>
    <t>Botha village</t>
  </si>
  <si>
    <t>قرية بوثة</t>
  </si>
  <si>
    <t>AL_ Trorkmania Al-shmalia village</t>
  </si>
  <si>
    <t>قرية التركمانية الشمالية</t>
  </si>
  <si>
    <t>Ealibah</t>
  </si>
  <si>
    <t xml:space="preserve">قرية عليبة </t>
  </si>
  <si>
    <t>Tarteea Al-Hermas Village</t>
  </si>
  <si>
    <t>قرية طرطيعة الهرماس</t>
  </si>
  <si>
    <t>Markaz AL-Hatra</t>
  </si>
  <si>
    <t>مركز الحضر</t>
  </si>
  <si>
    <t>Tal faris shimale village</t>
  </si>
  <si>
    <t>قرية تل فارس شمالي</t>
  </si>
  <si>
    <t>Medan kli Gharbia village</t>
  </si>
  <si>
    <t>قرية ميدان قلي غربية</t>
  </si>
  <si>
    <t>Altaaysh alsharqah Village</t>
  </si>
  <si>
    <t>قرية الطايش الشرقية</t>
  </si>
  <si>
    <t>Tal Dakash Village</t>
  </si>
  <si>
    <t>قرية تل دغش</t>
  </si>
  <si>
    <t>Qamishlah Village</t>
  </si>
  <si>
    <t>قرية القامشلية</t>
  </si>
  <si>
    <t>Alsaleah</t>
  </si>
  <si>
    <t>قرية الصلعة</t>
  </si>
  <si>
    <t>Abaar gharbah Village</t>
  </si>
  <si>
    <t>قرية عبار غربي</t>
  </si>
  <si>
    <t>Abtishah</t>
  </si>
  <si>
    <t>قرية ابطيشة</t>
  </si>
  <si>
    <t>Easilah algharbia</t>
  </si>
  <si>
    <t xml:space="preserve">قرية اعسيلة  الغربية </t>
  </si>
  <si>
    <t>Rmothaniat Al-rdin Village</t>
  </si>
  <si>
    <t>قرية رمضانيات الردن</t>
  </si>
  <si>
    <t>Alfundia</t>
  </si>
  <si>
    <t>قرية الفندي</t>
  </si>
  <si>
    <t>khaznzh sharqiah village</t>
  </si>
  <si>
    <t xml:space="preserve">قرية خزنة شرقية </t>
  </si>
  <si>
    <t>Abu sanam wasataa Village</t>
  </si>
  <si>
    <t>قرية ابو سنام وسطى</t>
  </si>
  <si>
    <t>Majmae khams talul</t>
  </si>
  <si>
    <t>قرية مجمع خمس تلول</t>
  </si>
  <si>
    <t>Alsadahya</t>
  </si>
  <si>
    <t>السداحية</t>
  </si>
  <si>
    <t>Mlehat village</t>
  </si>
  <si>
    <t>قرية مليحات</t>
  </si>
  <si>
    <t>jadalah altharthar Village</t>
  </si>
  <si>
    <t>قرية جدالة الثرثار</t>
  </si>
  <si>
    <t>Tal eabtah aljanubiuah</t>
  </si>
  <si>
    <t xml:space="preserve">قرية تل عبطة الجنوبية </t>
  </si>
  <si>
    <t>Tal abta</t>
  </si>
  <si>
    <t>تل عبطة</t>
  </si>
  <si>
    <t>Dhelah Village</t>
  </si>
  <si>
    <t>قرية دحيله</t>
  </si>
  <si>
    <t>Alhazimiah algharbiah</t>
  </si>
  <si>
    <t xml:space="preserve">قرية الهزيمية الغربية </t>
  </si>
  <si>
    <t>Zaaziaa Village</t>
  </si>
  <si>
    <t>قرية زعيزيعة</t>
  </si>
  <si>
    <t>Mubahil</t>
  </si>
  <si>
    <t xml:space="preserve">قرية مبهل </t>
  </si>
  <si>
    <t>Tal ghazal Village</t>
  </si>
  <si>
    <t>قرية تل غزال</t>
  </si>
  <si>
    <t>Eiadah</t>
  </si>
  <si>
    <t xml:space="preserve">قرية عيادة </t>
  </si>
  <si>
    <t>Eakilat alhalib village</t>
  </si>
  <si>
    <t>قرية عكيلت الحليب</t>
  </si>
  <si>
    <t>Ashwa village</t>
  </si>
  <si>
    <t>قرية اشوا</t>
  </si>
  <si>
    <t>Hazimiah almashajiy</t>
  </si>
  <si>
    <t>قرية هزيمة المشجي</t>
  </si>
  <si>
    <t>twimin village</t>
  </si>
  <si>
    <t>قرية تويمين</t>
  </si>
  <si>
    <t>Mokhazaga Village</t>
  </si>
  <si>
    <t>قرية مخزكة</t>
  </si>
  <si>
    <t>AL-Ani Village</t>
  </si>
  <si>
    <t>قرية العاني</t>
  </si>
  <si>
    <t>Khabaza Sharqiya Village</t>
  </si>
  <si>
    <t>قرية خبازة الشرقية</t>
  </si>
  <si>
    <t>aldabusah village</t>
  </si>
  <si>
    <t xml:space="preserve">قرية الدبسة </t>
  </si>
  <si>
    <t>Hajaf</t>
  </si>
  <si>
    <t>قرية حجف</t>
  </si>
  <si>
    <t>Al-boughime Village</t>
  </si>
  <si>
    <t>قرية البوجهيمي</t>
  </si>
  <si>
    <t>Al-Salhiya village</t>
  </si>
  <si>
    <t>Al bariit village</t>
  </si>
  <si>
    <t>قرية البريت</t>
  </si>
  <si>
    <t>Tarteea abd alkarem Village</t>
  </si>
  <si>
    <t>قرية طرطيعة عبدالكريم</t>
  </si>
  <si>
    <t>Tal faris genobe village</t>
  </si>
  <si>
    <t>قرية تل فارس جنوبي</t>
  </si>
  <si>
    <t>Asedyt al hishash</t>
  </si>
  <si>
    <t>قرية اسعدية الحشاش</t>
  </si>
  <si>
    <t>Marzuka village</t>
  </si>
  <si>
    <t>قرية مرزوكة</t>
  </si>
  <si>
    <t>khrezz Village</t>
  </si>
  <si>
    <t>قرية كهريز</t>
  </si>
  <si>
    <t>yuz tabah Village</t>
  </si>
  <si>
    <t>قرية يوز تبه</t>
  </si>
  <si>
    <t>Al-rogaae Al-shrqia Village</t>
  </si>
  <si>
    <t>قرية الركعي الشرقية</t>
  </si>
  <si>
    <t>Rakei mawhan Village</t>
  </si>
  <si>
    <t xml:space="preserve">قرية ركعي موحان </t>
  </si>
  <si>
    <t>Malihat alrakei</t>
  </si>
  <si>
    <t>قرية مالحة الركعي</t>
  </si>
  <si>
    <t>Al-Asraj Al-Sharqiyah Village</t>
  </si>
  <si>
    <t>قرية الاسرج الشرقية</t>
  </si>
  <si>
    <t>Aseelah</t>
  </si>
  <si>
    <t>عسيلة</t>
  </si>
  <si>
    <t>Abotank Village</t>
  </si>
  <si>
    <t>قرية ابو تنك</t>
  </si>
  <si>
    <t>Ashkech Village</t>
  </si>
  <si>
    <t>قرية اشكيج</t>
  </si>
  <si>
    <t>Zaid Al Muayeb</t>
  </si>
  <si>
    <t>قرية زيد المتعب</t>
  </si>
  <si>
    <t>Al-Muharibeen</t>
  </si>
  <si>
    <t>المحاربين</t>
  </si>
  <si>
    <t>Bab Jadeed</t>
  </si>
  <si>
    <t>باب الجديد</t>
  </si>
  <si>
    <t>Wadi Hajar</t>
  </si>
  <si>
    <t>وادي حجر</t>
  </si>
  <si>
    <t>Al-Mohandis Village</t>
  </si>
  <si>
    <t>قرية المهندس</t>
  </si>
  <si>
    <t>Al-Swais</t>
  </si>
  <si>
    <t>السويس</t>
  </si>
  <si>
    <t>Dawasa</t>
  </si>
  <si>
    <t>الدواسة</t>
  </si>
  <si>
    <t>Al hoedir village</t>
  </si>
  <si>
    <t>قرية الحويدر</t>
  </si>
  <si>
    <t>Naboaa Sfla Village</t>
  </si>
  <si>
    <t>قرية نبوعة سفلى</t>
  </si>
  <si>
    <t>Hay Al Intisar</t>
  </si>
  <si>
    <t>الانتصار</t>
  </si>
  <si>
    <t>Tes Kharab Sagher Village</t>
  </si>
  <si>
    <t>قرية تيسخراب صغير</t>
  </si>
  <si>
    <t>Al-Rasef Village</t>
  </si>
  <si>
    <t>قرية الرصيف</t>
  </si>
  <si>
    <t>Al-Areej Village</t>
  </si>
  <si>
    <t>قرية العريج</t>
  </si>
  <si>
    <t>Al-Derbas Village</t>
  </si>
  <si>
    <t>قرية الدرباس</t>
  </si>
  <si>
    <t>Al-arbid Village</t>
  </si>
  <si>
    <t>قرية العربيد</t>
  </si>
  <si>
    <t>Tel Al-raes Al-thania Village</t>
  </si>
  <si>
    <t>قرية تل الريس الثانية</t>
  </si>
  <si>
    <t>Al-Bghala Village</t>
  </si>
  <si>
    <t>قرية البغلة</t>
  </si>
  <si>
    <t>Al-Nazaza Village</t>
  </si>
  <si>
    <t>قرية النزازة</t>
  </si>
  <si>
    <t>AL rahmanea Village</t>
  </si>
  <si>
    <t>قرية الرحمانية</t>
  </si>
  <si>
    <t>Tal alshaeir Village</t>
  </si>
  <si>
    <t>قرية تل الشعير</t>
  </si>
  <si>
    <t>Um almaharir Village</t>
  </si>
  <si>
    <t>قرية ام المحاحير</t>
  </si>
  <si>
    <t>Al-Akhaa</t>
  </si>
  <si>
    <t>الاخاء</t>
  </si>
  <si>
    <t>Al-Khazraj</t>
  </si>
  <si>
    <t>Hay Al Tayran</t>
  </si>
  <si>
    <t>حي الطيران</t>
  </si>
  <si>
    <t>Baybokht</t>
  </si>
  <si>
    <t>بايبوخت</t>
  </si>
  <si>
    <t>Sananik</t>
  </si>
  <si>
    <t>سنانك</t>
  </si>
  <si>
    <t>Al-sukar</t>
  </si>
  <si>
    <t>حي السكر</t>
  </si>
  <si>
    <t>Khirbt Shmam Village</t>
  </si>
  <si>
    <t>قرية خربة شمام</t>
  </si>
  <si>
    <t>Abyath Al-kafor Village</t>
  </si>
  <si>
    <t xml:space="preserve">قرية ابيض الكافور </t>
  </si>
  <si>
    <t>Harada Village</t>
  </si>
  <si>
    <t>قرية حرادة</t>
  </si>
  <si>
    <t>Al-Rikrak Village</t>
  </si>
  <si>
    <t>قرية الركراك</t>
  </si>
  <si>
    <t>Asqaf</t>
  </si>
  <si>
    <t>قرية أسقف</t>
  </si>
  <si>
    <t>Al jarn Village</t>
  </si>
  <si>
    <t>قرية الجرن</t>
  </si>
  <si>
    <t>Hay Al-Baker</t>
  </si>
  <si>
    <t>Al-Qayyarah Center</t>
  </si>
  <si>
    <t>مركز القيارة</t>
  </si>
  <si>
    <t>Abo Jarboaa</t>
  </si>
  <si>
    <t>قرية ابو جربوعة</t>
  </si>
  <si>
    <t>Ktabah Village</t>
  </si>
  <si>
    <t>قرية كطبة</t>
  </si>
  <si>
    <t>Dur-AlQaeda</t>
  </si>
  <si>
    <t>دور القاعدة</t>
  </si>
  <si>
    <t>Al-Kharrar Village</t>
  </si>
  <si>
    <t>قرية الخرار</t>
  </si>
  <si>
    <t>Tal-Alshaeer Village</t>
  </si>
  <si>
    <t>Albo Wawe Village</t>
  </si>
  <si>
    <t>قرية البو واوي</t>
  </si>
  <si>
    <t>Bower Albo Hmad Village</t>
  </si>
  <si>
    <t>قرية بوير البوحمد</t>
  </si>
  <si>
    <t>Al-Jmesa Village</t>
  </si>
  <si>
    <t>قرية الجمسة</t>
  </si>
  <si>
    <t>Al-Masayid Village</t>
  </si>
  <si>
    <t>قرية المصايد</t>
  </si>
  <si>
    <t>Hay AL-Jamea</t>
  </si>
  <si>
    <t>حي الجامعة</t>
  </si>
  <si>
    <t>Dakat barkah</t>
  </si>
  <si>
    <t>دكة بركة</t>
  </si>
  <si>
    <t>Al zoeha Village</t>
  </si>
  <si>
    <t>Khaberat Eatishana</t>
  </si>
  <si>
    <t>خبيرات عطشانة</t>
  </si>
  <si>
    <t>Al rasheediya</t>
  </si>
  <si>
    <t>Al-Nabi Sheet</t>
  </si>
  <si>
    <t>النبي شيت</t>
  </si>
  <si>
    <t>Mosul Jadida</t>
  </si>
  <si>
    <t>موصل الجديدة</t>
  </si>
  <si>
    <t>Tal Al-Rumman</t>
  </si>
  <si>
    <t>تل الرمان</t>
  </si>
  <si>
    <t>Shura Center</t>
  </si>
  <si>
    <t>الشورى</t>
  </si>
  <si>
    <t>Ahmedat Village</t>
  </si>
  <si>
    <t>قرية حميدات</t>
  </si>
  <si>
    <t>Tasah Village</t>
  </si>
  <si>
    <t>قرية الطسة</t>
  </si>
  <si>
    <t>Halabiya Village</t>
  </si>
  <si>
    <t>قرية حلبية</t>
  </si>
  <si>
    <t>Al-Sinaa Al-Qadema</t>
  </si>
  <si>
    <t>الصناعة القديمة</t>
  </si>
  <si>
    <t>Tel Al-nasr Village</t>
  </si>
  <si>
    <t>قرية تل النصر</t>
  </si>
  <si>
    <t>Tlol al mhar Village</t>
  </si>
  <si>
    <t>قرية تلول المهار</t>
  </si>
  <si>
    <t>Abo shweha Village</t>
  </si>
  <si>
    <t>قرية ابو شويحة</t>
  </si>
  <si>
    <t>Hay 30 July</t>
  </si>
  <si>
    <t>HAY-SUMMER</t>
  </si>
  <si>
    <t>حي سومر</t>
  </si>
  <si>
    <t>Maghara</t>
  </si>
  <si>
    <t>مغارة</t>
  </si>
  <si>
    <t>Bysan</t>
  </si>
  <si>
    <t>بيسان</t>
  </si>
  <si>
    <t>Al-Ausaja Village</t>
  </si>
  <si>
    <t>قرية العوسجة</t>
  </si>
  <si>
    <t>Safina village</t>
  </si>
  <si>
    <t>قرية السفينة</t>
  </si>
  <si>
    <t>Al-eakedat</t>
  </si>
  <si>
    <t>حي العكيدات</t>
  </si>
  <si>
    <t>Om ahjaraa sfla village</t>
  </si>
  <si>
    <t>ام احجارة سفلى</t>
  </si>
  <si>
    <t>Al-Iqtisadieen</t>
  </si>
  <si>
    <t>حي الاقتصاديين</t>
  </si>
  <si>
    <t>Om al sejan Village</t>
  </si>
  <si>
    <t>قرية ام الصيجان</t>
  </si>
  <si>
    <t>AL-Damrche Alkabir Village</t>
  </si>
  <si>
    <t>قرية الدامرجي الكبير</t>
  </si>
  <si>
    <t>Hamam Alaleel Center</t>
  </si>
  <si>
    <t>مركز حمام العليل</t>
  </si>
  <si>
    <t>Makkuk Village</t>
  </si>
  <si>
    <t>قرية مكوك</t>
  </si>
  <si>
    <t>Um Al-Manasis village</t>
  </si>
  <si>
    <t>قرية ام المناسيس</t>
  </si>
  <si>
    <t>Al-Mothana</t>
  </si>
  <si>
    <t>حي المثنى</t>
  </si>
  <si>
    <t>Aen Nasir Village</t>
  </si>
  <si>
    <t>قرية عين ناصر</t>
  </si>
  <si>
    <t>Al-shrifat Village</t>
  </si>
  <si>
    <t>قرية الشريفات</t>
  </si>
  <si>
    <t>Miezela Village</t>
  </si>
  <si>
    <t>قرية معيزيلة</t>
  </si>
  <si>
    <t>Al-Jawsaq</t>
  </si>
  <si>
    <t>الجوسق</t>
  </si>
  <si>
    <t>Msherfa 2</t>
  </si>
  <si>
    <t>مشيرفة 2</t>
  </si>
  <si>
    <t>Ninewa Sharqiya</t>
  </si>
  <si>
    <t>نينوى الشرقية</t>
  </si>
  <si>
    <t>Sultan Abdullah Village</t>
  </si>
  <si>
    <t>قرية السلطان عبدالله</t>
  </si>
  <si>
    <t>Alqadisiya Al-thaniya</t>
  </si>
  <si>
    <t>Aldench sharke Village</t>
  </si>
  <si>
    <t>قرية الدنج شرقي</t>
  </si>
  <si>
    <t>Arkaba village</t>
  </si>
  <si>
    <t>قرية الركبة</t>
  </si>
  <si>
    <t>Al-Shahed Mauof</t>
  </si>
  <si>
    <t>الشهيد معيوف</t>
  </si>
  <si>
    <t>Al-Abar</t>
  </si>
  <si>
    <t>الابار</t>
  </si>
  <si>
    <t>AL Mansuria</t>
  </si>
  <si>
    <t>المنصورية</t>
  </si>
  <si>
    <t>Aldench karbe Village</t>
  </si>
  <si>
    <t>قرية الدنج غربي</t>
  </si>
  <si>
    <t>Al eyn Village</t>
  </si>
  <si>
    <t>قرية العين</t>
  </si>
  <si>
    <t>AL-midan</t>
  </si>
  <si>
    <t>الميدان</t>
  </si>
  <si>
    <t>Hawi alkanisa</t>
  </si>
  <si>
    <t>حاوي الكنيسة</t>
  </si>
  <si>
    <t>Twayem</t>
  </si>
  <si>
    <t>تويم</t>
  </si>
  <si>
    <t>Hay Al Arabi</t>
  </si>
  <si>
    <t>حي العربي</t>
  </si>
  <si>
    <t>Ablah Village</t>
  </si>
  <si>
    <t>قرية عبلة</t>
  </si>
  <si>
    <t>Al-Salam Village</t>
  </si>
  <si>
    <t>Al-Sihha</t>
  </si>
  <si>
    <t>حي الصحة</t>
  </si>
  <si>
    <t>الضباط</t>
  </si>
  <si>
    <t>Al mangoba al kadema Village</t>
  </si>
  <si>
    <t>قرية المنكوبة القديمة</t>
  </si>
  <si>
    <t>Al-Noor</t>
  </si>
  <si>
    <t>النور</t>
  </si>
  <si>
    <t>اليرموك</t>
  </si>
  <si>
    <t>Muwali</t>
  </si>
  <si>
    <t>الموالي</t>
  </si>
  <si>
    <t>Saf al-tut Village</t>
  </si>
  <si>
    <t>قرية صف التوت</t>
  </si>
  <si>
    <t>Al-taya Village</t>
  </si>
  <si>
    <t>قرية التاية</t>
  </si>
  <si>
    <t>Al-jmassa Village</t>
  </si>
  <si>
    <t>قرية الجماسة</t>
  </si>
  <si>
    <t>Door Al-Sukar</t>
  </si>
  <si>
    <t>دور السكر</t>
  </si>
  <si>
    <t>Al-Yaseen village</t>
  </si>
  <si>
    <t>قرية الياسين</t>
  </si>
  <si>
    <t>AL-sheek Maaroof village</t>
  </si>
  <si>
    <t>قرية الشيخ معروف</t>
  </si>
  <si>
    <t>Om al shnen Village</t>
  </si>
  <si>
    <t>قرية ام الشنين</t>
  </si>
  <si>
    <t>Eyen aslobe olea Village</t>
  </si>
  <si>
    <t>قرية عين الصلبي عليا</t>
  </si>
  <si>
    <t>Sahaji</t>
  </si>
  <si>
    <t>السحاجي</t>
  </si>
  <si>
    <t>Tobzawa Village</t>
  </si>
  <si>
    <t>قرية طوبزاوة</t>
  </si>
  <si>
    <t>Alzanazil Village</t>
  </si>
  <si>
    <t>قرية الزنازل</t>
  </si>
  <si>
    <t>Al-Jamasah Village</t>
  </si>
  <si>
    <t>Sayyid Hamed Village</t>
  </si>
  <si>
    <t>قرية سيد حامد</t>
  </si>
  <si>
    <t>Al-Hmza Village</t>
  </si>
  <si>
    <t>قرية الحمزة</t>
  </si>
  <si>
    <t>Al-Ziftiyah VIllage</t>
  </si>
  <si>
    <t>قرية الزفتية</t>
  </si>
  <si>
    <t>Domiz</t>
  </si>
  <si>
    <t>دوميز</t>
  </si>
  <si>
    <t>Al jazaer</t>
  </si>
  <si>
    <t>حي الجزائر</t>
  </si>
  <si>
    <t>Al-Khadraa</t>
  </si>
  <si>
    <t>Janjy</t>
  </si>
  <si>
    <t>جنجي</t>
  </si>
  <si>
    <t>Rihaniya</t>
  </si>
  <si>
    <t>الريحانية</t>
  </si>
  <si>
    <t>Muhalabya center</t>
  </si>
  <si>
    <t>مركز المحلبية</t>
  </si>
  <si>
    <t>Al-Zawya Village</t>
  </si>
  <si>
    <t>Barema Village</t>
  </si>
  <si>
    <t>قرية باريمة</t>
  </si>
  <si>
    <t>Imam Village</t>
  </si>
  <si>
    <t>قرية الامام</t>
  </si>
  <si>
    <t>Al-smood</t>
  </si>
  <si>
    <t>Wadi Al-Ain</t>
  </si>
  <si>
    <t>وادي العين</t>
  </si>
  <si>
    <t>Ras AL jada</t>
  </si>
  <si>
    <t>رأس الجادة</t>
  </si>
  <si>
    <t>Ahlila village</t>
  </si>
  <si>
    <t>قرية احليلة</t>
  </si>
  <si>
    <t>Al-Mansour</t>
  </si>
  <si>
    <t>المنصور</t>
  </si>
  <si>
    <t>Al-Qahira</t>
  </si>
  <si>
    <t>القاهرة</t>
  </si>
  <si>
    <t>Hay 17 July</t>
  </si>
  <si>
    <t>حي 17 تموز</t>
  </si>
  <si>
    <t>AL-Maghfera Village</t>
  </si>
  <si>
    <t>قرية المغفرة</t>
  </si>
  <si>
    <t>AL Jawana</t>
  </si>
  <si>
    <t>الجواعنة</t>
  </si>
  <si>
    <t>Tal-Zahra Village</t>
  </si>
  <si>
    <t>قرية تل زهرة</t>
  </si>
  <si>
    <t>Al-Qahira Village</t>
  </si>
  <si>
    <t>قرية القاهرة</t>
  </si>
  <si>
    <t>Yarmjah</t>
  </si>
  <si>
    <t>يارمجة</t>
  </si>
  <si>
    <t>Badosh Al-thania Village</t>
  </si>
  <si>
    <t>قرية بادوش الثانية</t>
  </si>
  <si>
    <t>Badosh uoleha Village</t>
  </si>
  <si>
    <t>قرية بادوش عليا</t>
  </si>
  <si>
    <t>Al-Wahda</t>
  </si>
  <si>
    <t>الوحدة</t>
  </si>
  <si>
    <t>Hay Adan</t>
  </si>
  <si>
    <t>حي عدن</t>
  </si>
  <si>
    <t>Al-Bellona Village</t>
  </si>
  <si>
    <t>قرية البيلونة</t>
  </si>
  <si>
    <t>Tal Khayma Village</t>
  </si>
  <si>
    <t>قرية تل خيمة</t>
  </si>
  <si>
    <t>Shuhadaa Village</t>
  </si>
  <si>
    <t>قرية الشهداء</t>
  </si>
  <si>
    <t>Kesooma Village</t>
  </si>
  <si>
    <t>قرية كيصومة</t>
  </si>
  <si>
    <t>Hay Al-Maliyah</t>
  </si>
  <si>
    <t>حي المالية</t>
  </si>
  <si>
    <t>Azhelela Village</t>
  </si>
  <si>
    <t>قرية ازهيليلة</t>
  </si>
  <si>
    <t>Kadan Village</t>
  </si>
  <si>
    <t>قرية خدعان</t>
  </si>
  <si>
    <t>Al-srjkhana</t>
  </si>
  <si>
    <t>السرجخانة</t>
  </si>
  <si>
    <t>Hasar Village</t>
  </si>
  <si>
    <t xml:space="preserve">قرية حصار </t>
  </si>
  <si>
    <t xml:space="preserve">AL khawain village </t>
  </si>
  <si>
    <t xml:space="preserve">قرية الخوين </t>
  </si>
  <si>
    <t>Al Sahiroon</t>
  </si>
  <si>
    <t>الساهرون</t>
  </si>
  <si>
    <t>Aldernaj</t>
  </si>
  <si>
    <t>الدرناج</t>
  </si>
  <si>
    <t>Hay Al Islah Al Zirai</t>
  </si>
  <si>
    <t>حي الاصلاح الزراعي</t>
  </si>
  <si>
    <t>AL-Jadah Village</t>
  </si>
  <si>
    <t>قرية الجدعة</t>
  </si>
  <si>
    <t>Tal-Alshouk Village</t>
  </si>
  <si>
    <t>قرية تل الشوك</t>
  </si>
  <si>
    <t>AL-Refaq</t>
  </si>
  <si>
    <t>حي الرفاق</t>
  </si>
  <si>
    <t>Tofaha Sharqiya Village</t>
  </si>
  <si>
    <t>قرية تفاحة شرقية</t>
  </si>
  <si>
    <t>Al-Oraybi</t>
  </si>
  <si>
    <t>حي العريبي</t>
  </si>
  <si>
    <t>Al-Mayasa</t>
  </si>
  <si>
    <t>المياسا</t>
  </si>
  <si>
    <t>Bab Albeeth</t>
  </si>
  <si>
    <t>باب البيض</t>
  </si>
  <si>
    <t>Al tahreer</t>
  </si>
  <si>
    <t>التحرير</t>
  </si>
  <si>
    <t>Hay Al Samah</t>
  </si>
  <si>
    <t>حي السماح</t>
  </si>
  <si>
    <t>Hay Nablus</t>
  </si>
  <si>
    <t>حي نابلس</t>
  </si>
  <si>
    <t>Tilyarah Village</t>
  </si>
  <si>
    <t>قرية تليارة</t>
  </si>
  <si>
    <t>Merki</t>
  </si>
  <si>
    <t>ميركي</t>
  </si>
  <si>
    <t>Khubatah Village</t>
  </si>
  <si>
    <t>قرية خباطة</t>
  </si>
  <si>
    <t>Al-Andalus</t>
  </si>
  <si>
    <t>Al-mhal Village</t>
  </si>
  <si>
    <t>قرية المحل</t>
  </si>
  <si>
    <t>Al-Shahed Adnan</t>
  </si>
  <si>
    <t>الشهيد عدنان</t>
  </si>
  <si>
    <t>Msherfa 1</t>
  </si>
  <si>
    <t>مشيرفة 1</t>
  </si>
  <si>
    <t>Iskan smint Factory Village</t>
  </si>
  <si>
    <t>قرية اسكان معمل الاسمنت</t>
  </si>
  <si>
    <t>Kharab Dalil Village</t>
  </si>
  <si>
    <t>قرية خرابة دليل</t>
  </si>
  <si>
    <t>Tal drwesh Village</t>
  </si>
  <si>
    <t>قرية تل درويش</t>
  </si>
  <si>
    <t>Hay alsedeeq</t>
  </si>
  <si>
    <t>Kanona Village</t>
  </si>
  <si>
    <t>قرية كانونة</t>
  </si>
  <si>
    <t>الثورة</t>
  </si>
  <si>
    <t>Ghizlani</t>
  </si>
  <si>
    <t>الغزلاني</t>
  </si>
  <si>
    <t>Bab Lakash</t>
  </si>
  <si>
    <t>باب لكش</t>
  </si>
  <si>
    <t>Al konsea Village</t>
  </si>
  <si>
    <t>قرية الكونسية</t>
  </si>
  <si>
    <t>Tl kater Village</t>
  </si>
  <si>
    <t>قرية تل خاطر</t>
  </si>
  <si>
    <t>Al mangoba al jadeda Village</t>
  </si>
  <si>
    <t>قرية المنكوبة الجديدة</t>
  </si>
  <si>
    <t>AL mrer Village</t>
  </si>
  <si>
    <t>قرية المرير</t>
  </si>
  <si>
    <t>Al zarkha Village</t>
  </si>
  <si>
    <t>قرية الزركة</t>
  </si>
  <si>
    <t>Al kofsan Village</t>
  </si>
  <si>
    <t>قرية الخفسان</t>
  </si>
  <si>
    <t>Al ain al beta Village</t>
  </si>
  <si>
    <t>قرية العين البيضة</t>
  </si>
  <si>
    <t>Tal Zalat Village</t>
  </si>
  <si>
    <t>قرية تل زلط</t>
  </si>
  <si>
    <t>Hay Al-Shifaa</t>
  </si>
  <si>
    <t>حي الشفاء</t>
  </si>
  <si>
    <t>Tes Kharab Kabeer Village</t>
  </si>
  <si>
    <t>قرية تيسخراب كبير</t>
  </si>
  <si>
    <t>Al-Amil</t>
  </si>
  <si>
    <t>العامل</t>
  </si>
  <si>
    <t>Al-Karama village</t>
  </si>
  <si>
    <t>قرية الكرامة</t>
  </si>
  <si>
    <t>Al-Moalemen</t>
  </si>
  <si>
    <t>Tl Al-sman Village</t>
  </si>
  <si>
    <t>قرية تل السمن</t>
  </si>
  <si>
    <t>Al-rabaa Village</t>
  </si>
  <si>
    <t>Athathah Village</t>
  </si>
  <si>
    <t>قرية عثعثة</t>
  </si>
  <si>
    <t>Al-Thalja Village</t>
  </si>
  <si>
    <t>قرية الثلجة</t>
  </si>
  <si>
    <t>Bashiqa center</t>
  </si>
  <si>
    <t>مركز بعشيقة</t>
  </si>
  <si>
    <t>Jahuni Village</t>
  </si>
  <si>
    <t>قرية جهوني</t>
  </si>
  <si>
    <t>Al-Hasya Village</t>
  </si>
  <si>
    <t>قرية الحصية</t>
  </si>
  <si>
    <t>Seewiya Village</t>
  </si>
  <si>
    <t>قرية الصعيوية</t>
  </si>
  <si>
    <t>kharbat Malik Village</t>
  </si>
  <si>
    <t>قرية خربة ملك</t>
  </si>
  <si>
    <t>Judaedat AlMufti</t>
  </si>
  <si>
    <t>جديدة المفتي</t>
  </si>
  <si>
    <t>Al-Sabaawe</t>
  </si>
  <si>
    <t>السبعاوي</t>
  </si>
  <si>
    <t>Wade al mor Village</t>
  </si>
  <si>
    <t>قرية وادي المر</t>
  </si>
  <si>
    <t>Al-salmani Village</t>
  </si>
  <si>
    <t>قرية السلماني</t>
  </si>
  <si>
    <t>Dawizat fawqani</t>
  </si>
  <si>
    <t>قرية ادويزات فوقاني</t>
  </si>
  <si>
    <t>Al-Maamon</t>
  </si>
  <si>
    <t>المامون</t>
  </si>
  <si>
    <t>Qaryat Beer Hillan</t>
  </si>
  <si>
    <t>بير حلان</t>
  </si>
  <si>
    <t>Kokjali</t>
  </si>
  <si>
    <t>كوكجلي</t>
  </si>
  <si>
    <t>Al-Nawaran</t>
  </si>
  <si>
    <t>النوران</t>
  </si>
  <si>
    <t>Al-Asbieh Village</t>
  </si>
  <si>
    <t>قرية الاصيبح</t>
  </si>
  <si>
    <t>Al hota Village</t>
  </si>
  <si>
    <t>قرية الهوتة</t>
  </si>
  <si>
    <t>Qara Tabba Village</t>
  </si>
  <si>
    <t>قرية قره تبة</t>
  </si>
  <si>
    <t>Al Baraka complex</t>
  </si>
  <si>
    <t>مجمع البركة</t>
  </si>
  <si>
    <t>Hay Alalam</t>
  </si>
  <si>
    <t>حي الاعلام</t>
  </si>
  <si>
    <t>Hararah Village</t>
  </si>
  <si>
    <t>قرية هرارة</t>
  </si>
  <si>
    <t>Azoereg Village</t>
  </si>
  <si>
    <t>قرية ازويريج</t>
  </si>
  <si>
    <t>Al-Maghreb</t>
  </si>
  <si>
    <t>حي المغرب</t>
  </si>
  <si>
    <t>Mjareen Village</t>
  </si>
  <si>
    <t>قرية مجارين</t>
  </si>
  <si>
    <t>Al-Fisaliyah</t>
  </si>
  <si>
    <t>الفيصلية</t>
  </si>
  <si>
    <t>Kraheb Jabor Village</t>
  </si>
  <si>
    <t>قرية خرائب جبر</t>
  </si>
  <si>
    <t>Al Fadhliyah</t>
  </si>
  <si>
    <t>الفاضلية</t>
  </si>
  <si>
    <t>Al-Quds</t>
  </si>
  <si>
    <t>HAY-FALISTINE</t>
  </si>
  <si>
    <t>حي فلسطين</t>
  </si>
  <si>
    <t>Nabi Younis</t>
  </si>
  <si>
    <t>حي النبي يونس</t>
  </si>
  <si>
    <t>knetrah Village</t>
  </si>
  <si>
    <t>قرية كنيطرة</t>
  </si>
  <si>
    <t>Qabr Al-abid Village</t>
  </si>
  <si>
    <t>قرية قبر العبد</t>
  </si>
  <si>
    <t>Tel Al-raes Al-awola Village</t>
  </si>
  <si>
    <t>قرية تل الريس الاولى</t>
  </si>
  <si>
    <t>Al-Nafit</t>
  </si>
  <si>
    <t>حي النفط</t>
  </si>
  <si>
    <t>Al Sikak</t>
  </si>
  <si>
    <t>Almshahda</t>
  </si>
  <si>
    <t>المشاهدة</t>
  </si>
  <si>
    <t>Om atham Village</t>
  </si>
  <si>
    <t>قرية ام اعضام</t>
  </si>
  <si>
    <t>Halawa Village</t>
  </si>
  <si>
    <t>Al-Buytir</t>
  </si>
  <si>
    <t>البويتر</t>
  </si>
  <si>
    <t>Al-Bareed</t>
  </si>
  <si>
    <t>حي البريد</t>
  </si>
  <si>
    <t>Al-Salam</t>
  </si>
  <si>
    <t>Shwerat Village</t>
  </si>
  <si>
    <t>قرية الشويرات</t>
  </si>
  <si>
    <t>Albu jwari Village</t>
  </si>
  <si>
    <t>قرية البو جواري</t>
  </si>
  <si>
    <t>Al-Baladyat</t>
  </si>
  <si>
    <t>البلديات</t>
  </si>
  <si>
    <t>Arbajiyah</t>
  </si>
  <si>
    <t>اربجية</t>
  </si>
  <si>
    <t>Al-Matahin</t>
  </si>
  <si>
    <t>المطاحن</t>
  </si>
  <si>
    <t>Hay-Karkukli</t>
  </si>
  <si>
    <t>حي كركوكلي</t>
  </si>
  <si>
    <t>alnazaza</t>
  </si>
  <si>
    <t xml:space="preserve">قرية االنزازة </t>
  </si>
  <si>
    <t>Al-Karamah</t>
  </si>
  <si>
    <t>الكرامة</t>
  </si>
  <si>
    <t>Al-Numaniyah</t>
  </si>
  <si>
    <t>النعمانية</t>
  </si>
  <si>
    <t>Hay Alqadisya Alawla</t>
  </si>
  <si>
    <t>حي القادسية الاولى</t>
  </si>
  <si>
    <t>Tlul Nasir Village</t>
  </si>
  <si>
    <t>قرية تلول ناصر</t>
  </si>
  <si>
    <t>Arfela Village</t>
  </si>
  <si>
    <t>قرية رفيلة</t>
  </si>
  <si>
    <t>Nus tal Village</t>
  </si>
  <si>
    <t>قرية نص تل</t>
  </si>
  <si>
    <t>Qabr bin Naif Village</t>
  </si>
  <si>
    <t>قرية قبر بن نايف</t>
  </si>
  <si>
    <t>Abu Fishka Village</t>
  </si>
  <si>
    <t>قرية ابو فشكة</t>
  </si>
  <si>
    <t>Marazif Village</t>
  </si>
  <si>
    <t>قرية مرازيف</t>
  </si>
  <si>
    <t>Al-Moalimen</t>
  </si>
  <si>
    <t>Al-Rabeea</t>
  </si>
  <si>
    <t>حي الربيع</t>
  </si>
  <si>
    <t>Al-Rihaniuh Aljadida</t>
  </si>
  <si>
    <t>الريحانيه الجديدة</t>
  </si>
  <si>
    <t>Ajhalah village</t>
  </si>
  <si>
    <t>قرية اجحلة</t>
  </si>
  <si>
    <t>الرسالة</t>
  </si>
  <si>
    <t>Danadan</t>
  </si>
  <si>
    <t>الدندان</t>
  </si>
  <si>
    <t>Al-Shurta</t>
  </si>
  <si>
    <t>Al-Ziraee</t>
  </si>
  <si>
    <t>الزراعي</t>
  </si>
  <si>
    <t>Krede Village</t>
  </si>
  <si>
    <t>قرية كريدي</t>
  </si>
  <si>
    <t>Wade al safa Village</t>
  </si>
  <si>
    <t>قرية وادي الصفا</t>
  </si>
  <si>
    <t>Tal Waye Village</t>
  </si>
  <si>
    <t>قرية تل واعي</t>
  </si>
  <si>
    <t>Amnerha Village</t>
  </si>
  <si>
    <t>قرية امنيرة</t>
  </si>
  <si>
    <t>Sheikh Ibrahim Village</t>
  </si>
  <si>
    <t>قرية شيخ ابراهيم</t>
  </si>
  <si>
    <t>Dawizat tahtani Village</t>
  </si>
  <si>
    <t>قرية ادويزات تحتاني</t>
  </si>
  <si>
    <t>Al Samaqiyah</t>
  </si>
  <si>
    <t>السماقية</t>
  </si>
  <si>
    <t>Drawesh Village</t>
  </si>
  <si>
    <t>Bazwaya</t>
  </si>
  <si>
    <t>بازوايا</t>
  </si>
  <si>
    <t>Bab Nergal</t>
  </si>
  <si>
    <t>باب نركال</t>
  </si>
  <si>
    <t>Al-Najjar</t>
  </si>
  <si>
    <t>النجار</t>
  </si>
  <si>
    <t>Om ahjaraa Aulea village</t>
  </si>
  <si>
    <t>ام احجارة عليا</t>
  </si>
  <si>
    <t>Al-Methaq</t>
  </si>
  <si>
    <t>الميثاق</t>
  </si>
  <si>
    <t>Zanjili</t>
  </si>
  <si>
    <t>الزنجيلي</t>
  </si>
  <si>
    <t>Abu Arayis Village</t>
  </si>
  <si>
    <t>قرية أبوعرايس</t>
  </si>
  <si>
    <t xml:space="preserve">Aski Mosul Village </t>
  </si>
  <si>
    <t xml:space="preserve">قريه اسكي موصل </t>
  </si>
  <si>
    <t>Derig</t>
  </si>
  <si>
    <t>قرية ديرج</t>
  </si>
  <si>
    <t>Khirbat Juhayna</t>
  </si>
  <si>
    <t>خربة جهينة</t>
  </si>
  <si>
    <t>Lazakah Village</t>
  </si>
  <si>
    <t>قرية لزاكه</t>
  </si>
  <si>
    <t>Al-Baath</t>
  </si>
  <si>
    <t>حي البعث</t>
  </si>
  <si>
    <t>Al-bosaif Village</t>
  </si>
  <si>
    <t>قرية البوسيف</t>
  </si>
  <si>
    <t>Al-Warshan</t>
  </si>
  <si>
    <t>الورشان</t>
  </si>
  <si>
    <t>Al-Refaee</t>
  </si>
  <si>
    <t>الرفاعي</t>
  </si>
  <si>
    <t>Omar Qabji</t>
  </si>
  <si>
    <t>قرية عمر قابجي</t>
  </si>
  <si>
    <t>Orta akrab Village</t>
  </si>
  <si>
    <t>قرية اورطه خراب</t>
  </si>
  <si>
    <t>Albweer Village</t>
  </si>
  <si>
    <t>قرية البوير</t>
  </si>
  <si>
    <t>Tubiya</t>
  </si>
  <si>
    <t>طوبية</t>
  </si>
  <si>
    <t>Naanaah village</t>
  </si>
  <si>
    <t>قرية النعناعة</t>
  </si>
  <si>
    <t>Khorsibat Village</t>
  </si>
  <si>
    <t>قرية خورسيباط</t>
  </si>
  <si>
    <t>Safiyah Vilalge</t>
  </si>
  <si>
    <t>قرية صفية</t>
  </si>
  <si>
    <t>Teba-Village</t>
  </si>
  <si>
    <t>Al-Tebat Village</t>
  </si>
  <si>
    <t>قرية الطيبات</t>
  </si>
  <si>
    <t>Al-Masarif</t>
  </si>
  <si>
    <t>حي المصارف</t>
  </si>
  <si>
    <t>Al-Falah</t>
  </si>
  <si>
    <t>حي الفلاح</t>
  </si>
  <si>
    <t>Abo Fshika Village</t>
  </si>
  <si>
    <t>Al-Minkar Village</t>
  </si>
  <si>
    <t>قرية المنكار</t>
  </si>
  <si>
    <t>Badosh Soflaha Village</t>
  </si>
  <si>
    <t>قرية بادوش سفلى</t>
  </si>
  <si>
    <t>Ajy juuq</t>
  </si>
  <si>
    <t xml:space="preserve">أجي جوق </t>
  </si>
  <si>
    <t>Al-Hadbaa</t>
  </si>
  <si>
    <t>الحدباء</t>
  </si>
  <si>
    <t>Hay Al Zahraa</t>
  </si>
  <si>
    <t>حي الزهراء</t>
  </si>
  <si>
    <t>Gori ghariban</t>
  </si>
  <si>
    <t>قرية كوري غريبان</t>
  </si>
  <si>
    <t>Al-Hood Village</t>
  </si>
  <si>
    <t>قرية الحود</t>
  </si>
  <si>
    <t>Hadhrat Al-Fadhil village</t>
  </si>
  <si>
    <t>قرية حضرة الفاضل</t>
  </si>
  <si>
    <t>Al-hukfah Village</t>
  </si>
  <si>
    <t>قرية الحكفة</t>
  </si>
  <si>
    <t>Al-Nahda</t>
  </si>
  <si>
    <t>حي النهضة</t>
  </si>
  <si>
    <t>Al-zakrotiyah Village</t>
  </si>
  <si>
    <t>قرية الزكروطية</t>
  </si>
  <si>
    <t>Arab Loh Village</t>
  </si>
  <si>
    <t>قرية غرب لوح</t>
  </si>
  <si>
    <t>Tal Samer AlKaber Village</t>
  </si>
  <si>
    <t>قرية تل سمير الكبير</t>
  </si>
  <si>
    <t>Al-Muhandiseen</t>
  </si>
  <si>
    <t>المهندسين</t>
  </si>
  <si>
    <t>Al-Zuhor</t>
  </si>
  <si>
    <t>الزهور</t>
  </si>
  <si>
    <t>Al-Alfaf complex</t>
  </si>
  <si>
    <t>مجمع الالفاف</t>
  </si>
  <si>
    <t>Al-Salahiya Village</t>
  </si>
  <si>
    <t>قرية الصلاحية</t>
  </si>
  <si>
    <t>Bahzani</t>
  </si>
  <si>
    <t xml:space="preserve">بحزاني </t>
  </si>
  <si>
    <t>Al-Bishmana Village</t>
  </si>
  <si>
    <t>قرية البشمانة</t>
  </si>
  <si>
    <t>Al-Miftiyah Village</t>
  </si>
  <si>
    <t>قرية المفتية</t>
  </si>
  <si>
    <t>Tl serwal village</t>
  </si>
  <si>
    <t>قرية تل سروال</t>
  </si>
  <si>
    <t>Al sbeh village</t>
  </si>
  <si>
    <t>قرية الصبيح</t>
  </si>
  <si>
    <t>Al-Rahya Al-Jdeda Village</t>
  </si>
  <si>
    <t>قرية الرحية الجديدة</t>
  </si>
  <si>
    <t>AL-damrche Alsakeer village</t>
  </si>
  <si>
    <t>قرية الدامرجي الصغير</t>
  </si>
  <si>
    <t>AL yazide Village</t>
  </si>
  <si>
    <t>قرية اليزيدي</t>
  </si>
  <si>
    <t>Al-Khaberat Village</t>
  </si>
  <si>
    <t>قرية الخبيرات</t>
  </si>
  <si>
    <t>Tal Alhwesh Village</t>
  </si>
  <si>
    <t>قرية تل الحويش</t>
  </si>
  <si>
    <t>Al-Batisha</t>
  </si>
  <si>
    <t>البطيشة</t>
  </si>
  <si>
    <t>eayan alwaah</t>
  </si>
  <si>
    <t>عين الواح</t>
  </si>
  <si>
    <t>eayan alfurs</t>
  </si>
  <si>
    <t xml:space="preserve">قرية عين الفرس </t>
  </si>
  <si>
    <t>التاميم</t>
  </si>
  <si>
    <t>Sardashty</t>
  </si>
  <si>
    <t>سردشتي</t>
  </si>
  <si>
    <t>Haliqye</t>
  </si>
  <si>
    <t>حليقي</t>
  </si>
  <si>
    <t>Zorava and zirwa</t>
  </si>
  <si>
    <t xml:space="preserve">زورافا+زيروا </t>
  </si>
  <si>
    <t>Hazeel Alshrqi Village</t>
  </si>
  <si>
    <t>قرية هزيل الشرقي</t>
  </si>
  <si>
    <t>Biskqi Village</t>
  </si>
  <si>
    <t>قرية بيسكي</t>
  </si>
  <si>
    <t>Balif</t>
  </si>
  <si>
    <t>بليف</t>
  </si>
  <si>
    <t>Hardan</t>
  </si>
  <si>
    <t>حردان</t>
  </si>
  <si>
    <t>Zaytoniya</t>
  </si>
  <si>
    <t>زيتونية</t>
  </si>
  <si>
    <t>Dokri</t>
  </si>
  <si>
    <t>دوكري</t>
  </si>
  <si>
    <t xml:space="preserve">Bakera </t>
  </si>
  <si>
    <t>بكرا</t>
  </si>
  <si>
    <t>Al Sibaya( um Aldanabk)</t>
  </si>
  <si>
    <t>السيباية ( ام الدنابك )</t>
  </si>
  <si>
    <t xml:space="preserve">Hatimiya </t>
  </si>
  <si>
    <t>حاتمية</t>
  </si>
  <si>
    <t>Hay Al Mamoon</t>
  </si>
  <si>
    <t>حي المأمون</t>
  </si>
  <si>
    <t>Guhbal and shorka</t>
  </si>
  <si>
    <t>كهبل +شوركا  </t>
  </si>
  <si>
    <t>AL-Judaida</t>
  </si>
  <si>
    <t>الجديدة</t>
  </si>
  <si>
    <t>Hay Alshuhada</t>
  </si>
  <si>
    <t>Bayevok</t>
  </si>
  <si>
    <t>بايفوك</t>
  </si>
  <si>
    <t>Hay Al Azdhar</t>
  </si>
  <si>
    <t>حي الازدهار</t>
  </si>
  <si>
    <t>Cheyl mira</t>
  </si>
  <si>
    <t>جيل ميرا</t>
  </si>
  <si>
    <t>Balistan</t>
  </si>
  <si>
    <t>بلستان</t>
  </si>
  <si>
    <t xml:space="preserve">Karsi </t>
  </si>
  <si>
    <t>كرسي</t>
  </si>
  <si>
    <t>Khana sor</t>
  </si>
  <si>
    <t>خانصور</t>
  </si>
  <si>
    <t>Shyebl Qasim</t>
  </si>
  <si>
    <t>شيبل قاسم</t>
  </si>
  <si>
    <t>Sibaya harrush</t>
  </si>
  <si>
    <t>سيباية حروش</t>
  </si>
  <si>
    <t>Hay Al Rabeea</t>
  </si>
  <si>
    <t>Hay Alqadseya</t>
  </si>
  <si>
    <t>Al Sayer</t>
  </si>
  <si>
    <t>السائر</t>
  </si>
  <si>
    <t>Darki Qawala</t>
  </si>
  <si>
    <t>داركي قوالا</t>
  </si>
  <si>
    <t>Hay barbaroj</t>
  </si>
  <si>
    <t>حي بربروش</t>
  </si>
  <si>
    <t>Nakhsye</t>
  </si>
  <si>
    <t>نخسي</t>
  </si>
  <si>
    <t>Hay Al Taawn</t>
  </si>
  <si>
    <t>حي التعاون</t>
  </si>
  <si>
    <t>Gry Gawry</t>
  </si>
  <si>
    <t>كري كوري</t>
  </si>
  <si>
    <t>Akhnesi Village</t>
  </si>
  <si>
    <t>قرية اخنيسي</t>
  </si>
  <si>
    <t>AL-Mualih Village</t>
  </si>
  <si>
    <t>قرية الموالح</t>
  </si>
  <si>
    <t xml:space="preserve">Dohola </t>
  </si>
  <si>
    <t xml:space="preserve">دهولا </t>
  </si>
  <si>
    <t>Rozh Halat</t>
  </si>
  <si>
    <t>حي روز هلات</t>
  </si>
  <si>
    <t>Al Cheri</t>
  </si>
  <si>
    <t>Hardan Sager</t>
  </si>
  <si>
    <t>حردان صغير</t>
  </si>
  <si>
    <t>Hay Al Wafaa</t>
  </si>
  <si>
    <t>حي الوفاء</t>
  </si>
  <si>
    <t>Wary Bahdo</t>
  </si>
  <si>
    <t>واري بهدو</t>
  </si>
  <si>
    <t>Hazeel Al-Kabeer Village</t>
  </si>
  <si>
    <t>قرية هزيل الكبير</t>
  </si>
  <si>
    <t>Hay Al khadraa</t>
  </si>
  <si>
    <t>Ashti &amp; Heriko</t>
  </si>
  <si>
    <t>اشتي و هريكو</t>
  </si>
  <si>
    <t>Hraaj Al-Amood Village</t>
  </si>
  <si>
    <t>قرية خرائج العمود</t>
  </si>
  <si>
    <t>Kolka</t>
  </si>
  <si>
    <t>كولكا</t>
  </si>
  <si>
    <t>Solagh</t>
  </si>
  <si>
    <t>صولاغ</t>
  </si>
  <si>
    <t>Hay Al Karama</t>
  </si>
  <si>
    <t>Melik</t>
  </si>
  <si>
    <t>ملك</t>
  </si>
  <si>
    <t>Gormez</t>
  </si>
  <si>
    <t>كرمز</t>
  </si>
  <si>
    <t>Bisan</t>
  </si>
  <si>
    <t>Hazeel Alwasti Village</t>
  </si>
  <si>
    <t>قرية هزيل الوسطي</t>
  </si>
  <si>
    <t>AL-Qahra Village</t>
  </si>
  <si>
    <t>Hay Al Adel</t>
  </si>
  <si>
    <t xml:space="preserve">حي العدل </t>
  </si>
  <si>
    <t>Osiva</t>
  </si>
  <si>
    <t>اوسفا</t>
  </si>
  <si>
    <t>Tall Alabtah</t>
  </si>
  <si>
    <t>قرية تل الابطح</t>
  </si>
  <si>
    <t>Shahabiya</t>
  </si>
  <si>
    <t>شهابية</t>
  </si>
  <si>
    <t>Sinuni center</t>
  </si>
  <si>
    <t>مركز سنوني</t>
  </si>
  <si>
    <t>Quwasi</t>
  </si>
  <si>
    <t>قويسي</t>
  </si>
  <si>
    <t>Sibaya Ammash Village</t>
  </si>
  <si>
    <t>قرية سيباية عماش</t>
  </si>
  <si>
    <t>Semi-Hester</t>
  </si>
  <si>
    <t>سمي هيستر</t>
  </si>
  <si>
    <t>Golat</t>
  </si>
  <si>
    <t>كولات</t>
  </si>
  <si>
    <t>Hay Al-Ziraee</t>
  </si>
  <si>
    <t>Qandil</t>
  </si>
  <si>
    <t>قنديل</t>
  </si>
  <si>
    <t>Al Nsireya</t>
  </si>
  <si>
    <t>قرية النصيرية</t>
  </si>
  <si>
    <t>Hay Al Naser</t>
  </si>
  <si>
    <t>Barah</t>
  </si>
  <si>
    <t>باره</t>
  </si>
  <si>
    <t>Sharaf Alddin</t>
  </si>
  <si>
    <t>شرف الدين</t>
  </si>
  <si>
    <t>Tiraf</t>
  </si>
  <si>
    <t>طيرف</t>
  </si>
  <si>
    <t>Ain alhisan Village</t>
  </si>
  <si>
    <t>قرية عين الحصان</t>
  </si>
  <si>
    <t>Girshabak</t>
  </si>
  <si>
    <t xml:space="preserve">كرشبك </t>
  </si>
  <si>
    <t>Hay Al Muhabba</t>
  </si>
  <si>
    <t>حي المحبة</t>
  </si>
  <si>
    <t>Borek</t>
  </si>
  <si>
    <t>بورك</t>
  </si>
  <si>
    <t>Hay Yarmok</t>
  </si>
  <si>
    <t>حي يرموك</t>
  </si>
  <si>
    <t>Am Alkhabari</t>
  </si>
  <si>
    <t>ام الخباري</t>
  </si>
  <si>
    <t>Ain Gzal Village</t>
  </si>
  <si>
    <t>قرية عين غزال</t>
  </si>
  <si>
    <t>Bir Adam</t>
  </si>
  <si>
    <t>بير ادم</t>
  </si>
  <si>
    <t>Um amar Village</t>
  </si>
  <si>
    <t>قرية ام عامر</t>
  </si>
  <si>
    <t>Khazoga</t>
  </si>
  <si>
    <t>خازوكة</t>
  </si>
  <si>
    <t>Adika</t>
  </si>
  <si>
    <t>اديكا</t>
  </si>
  <si>
    <t>Hay Al Shafaa</t>
  </si>
  <si>
    <t>Hay Al sahha</t>
  </si>
  <si>
    <t>Qasr Sarij</t>
  </si>
  <si>
    <t>قرية قسرصريج</t>
  </si>
  <si>
    <t>Ewaynat vilage</t>
  </si>
  <si>
    <t>قرية عوينات</t>
  </si>
  <si>
    <t>Amala Alkabira</t>
  </si>
  <si>
    <t>العملة الكبيره</t>
  </si>
  <si>
    <t>Tamarat Al Fawqanii Village</t>
  </si>
  <si>
    <t>قرية تمارات الفوقاني</t>
  </si>
  <si>
    <t>Qadisih</t>
  </si>
  <si>
    <t>القادسيه</t>
  </si>
  <si>
    <t>Gisari</t>
  </si>
  <si>
    <t xml:space="preserve">قرية جيساري </t>
  </si>
  <si>
    <t>Hay Al-Taleea Al-Thaniya</t>
  </si>
  <si>
    <t>حي الطليعة الثانية</t>
  </si>
  <si>
    <t>Ashiq</t>
  </si>
  <si>
    <t xml:space="preserve">العاشق </t>
  </si>
  <si>
    <t>Msherfa Village</t>
  </si>
  <si>
    <t>قرية مشيرفة</t>
  </si>
  <si>
    <t>AL-mazraa Al-thania Village</t>
  </si>
  <si>
    <t>قرية المزرعة الثانية</t>
  </si>
  <si>
    <t>Hay Al jazira</t>
  </si>
  <si>
    <t>حي الجزيرة</t>
  </si>
  <si>
    <t>Al karab Al kabeer Village</t>
  </si>
  <si>
    <t>قرية الخراب الكبير</t>
  </si>
  <si>
    <t>Jussa</t>
  </si>
  <si>
    <t>قرية جصة</t>
  </si>
  <si>
    <t>Karash village 1</t>
  </si>
  <si>
    <t>قرية كرش 1</t>
  </si>
  <si>
    <t>Tel shor</t>
  </si>
  <si>
    <t>قرية تل الشور</t>
  </si>
  <si>
    <t>Sahl Al Milhah Village</t>
  </si>
  <si>
    <t>قرية سهل المالح</t>
  </si>
  <si>
    <t>AL Mirdania village</t>
  </si>
  <si>
    <t>قرية المردانية</t>
  </si>
  <si>
    <t>Tal Mus</t>
  </si>
  <si>
    <t>قرية تل موس</t>
  </si>
  <si>
    <t>Khan safih</t>
  </si>
  <si>
    <t>خان صفية</t>
  </si>
  <si>
    <t>Barzan</t>
  </si>
  <si>
    <t>قرية برزان</t>
  </si>
  <si>
    <t>kasik</t>
  </si>
  <si>
    <t>كسك</t>
  </si>
  <si>
    <t>Tamarat Al Wastani Village</t>
  </si>
  <si>
    <t>قرية تمارات الوسطاني</t>
  </si>
  <si>
    <t>Qasabat Zummar</t>
  </si>
  <si>
    <t>قصبة زمار</t>
  </si>
  <si>
    <t>kirver village</t>
  </si>
  <si>
    <t>قرية كرفر</t>
  </si>
  <si>
    <t>Tal Hial vilage</t>
  </si>
  <si>
    <t>قرية تل حيال</t>
  </si>
  <si>
    <t>Karakafir Village</t>
  </si>
  <si>
    <t>قرية كاركافر</t>
  </si>
  <si>
    <t>Hay Al laban</t>
  </si>
  <si>
    <t>حي اللبن</t>
  </si>
  <si>
    <t>Bardiah complex</t>
  </si>
  <si>
    <t>مجمع برديه</t>
  </si>
  <si>
    <t>Abu Hajira vilage</t>
  </si>
  <si>
    <t>قرية ابو حجيرة</t>
  </si>
  <si>
    <t>Sahlij</t>
  </si>
  <si>
    <t>قرية سهلج</t>
  </si>
  <si>
    <t>Mueaskar Ayen Zalh</t>
  </si>
  <si>
    <t>معسكر عين زاله</t>
  </si>
  <si>
    <t>Mohamed saeed Bashar Vilage</t>
  </si>
  <si>
    <t>قرية محمد سعيد بشار</t>
  </si>
  <si>
    <t>Abu Mariya</t>
  </si>
  <si>
    <t>قرية ابو ماريا</t>
  </si>
  <si>
    <t xml:space="preserve">Kharbat Allsaedun </t>
  </si>
  <si>
    <t xml:space="preserve">خربة السعدون </t>
  </si>
  <si>
    <t>Aloabar Village</t>
  </si>
  <si>
    <t>قرية علو عبار</t>
  </si>
  <si>
    <t>Tuluh bash Village</t>
  </si>
  <si>
    <t>قرية طوله باش</t>
  </si>
  <si>
    <t>Albawtha vilage</t>
  </si>
  <si>
    <t>قرية البوثة</t>
  </si>
  <si>
    <t>Tamarat Al Tihtani Village</t>
  </si>
  <si>
    <t>قرية تمارات التحتاني</t>
  </si>
  <si>
    <t>Hay althahabe</t>
  </si>
  <si>
    <t>الحي الذهبي</t>
  </si>
  <si>
    <t>Jukhri Village</t>
  </si>
  <si>
    <t>جخري</t>
  </si>
  <si>
    <t>Abu Wajna</t>
  </si>
  <si>
    <t>ابو وجنه</t>
  </si>
  <si>
    <t>Tal Ismair</t>
  </si>
  <si>
    <t>قرية تل سمير</t>
  </si>
  <si>
    <t>Tal alhuaa</t>
  </si>
  <si>
    <t>قرية تل الهوى</t>
  </si>
  <si>
    <t>Tel Reem</t>
  </si>
  <si>
    <t>Al-Jazera Village</t>
  </si>
  <si>
    <t>قرية الجزيره</t>
  </si>
  <si>
    <t>Hay Al-Nidaa</t>
  </si>
  <si>
    <t>حي النداء</t>
  </si>
  <si>
    <t>Al Wailiyah Village</t>
  </si>
  <si>
    <t>قرية الوائلية</t>
  </si>
  <si>
    <t>Mashraf</t>
  </si>
  <si>
    <t>مشرف</t>
  </si>
  <si>
    <t>Hamd Agha Village</t>
  </si>
  <si>
    <t>حمد اغا</t>
  </si>
  <si>
    <t>Jamrud</t>
  </si>
  <si>
    <t>جمروت</t>
  </si>
  <si>
    <t>Ksr mahrab village</t>
  </si>
  <si>
    <t>قرية كسر محراب</t>
  </si>
  <si>
    <t>Ain aawes</t>
  </si>
  <si>
    <t>عين عويس</t>
  </si>
  <si>
    <t>Hay Al wahda</t>
  </si>
  <si>
    <t>Bashshar Village</t>
  </si>
  <si>
    <t>قرية بشار</t>
  </si>
  <si>
    <t>Wadi shour</t>
  </si>
  <si>
    <t>قرية وادي شور</t>
  </si>
  <si>
    <t>Domez complex</t>
  </si>
  <si>
    <t>مجمع دوميز</t>
  </si>
  <si>
    <t>Hdeimh</t>
  </si>
  <si>
    <t>قرية هضمية</t>
  </si>
  <si>
    <t>Hay Al-Taleea Alawla</t>
  </si>
  <si>
    <t>حي الطليعة الاولى</t>
  </si>
  <si>
    <t>Al nakwya Al arabeya Village</t>
  </si>
  <si>
    <t>قرية النخوة العربية</t>
  </si>
  <si>
    <t>Qasabat Ayadiya</t>
  </si>
  <si>
    <t>قصبة العياضية</t>
  </si>
  <si>
    <t>Tal Ahmed Agha El Kabir Village</t>
  </si>
  <si>
    <t>قرية تل احمد اغة الكبير</t>
  </si>
  <si>
    <t>Al Hay Al Askare</t>
  </si>
  <si>
    <t>Telafar-Al Noor</t>
  </si>
  <si>
    <t>AL-mazraa Al-awola Village</t>
  </si>
  <si>
    <t>قرية المزرعة الاولى</t>
  </si>
  <si>
    <t xml:space="preserve">Musifinah </t>
  </si>
  <si>
    <t>قرية مصيفنه</t>
  </si>
  <si>
    <t>Hay Al Uroba al thanya</t>
  </si>
  <si>
    <t>حي العروبة الثانية</t>
  </si>
  <si>
    <t>Masca Village</t>
  </si>
  <si>
    <t>قرية ماسكا</t>
  </si>
  <si>
    <t>Hay Al Sikak</t>
  </si>
  <si>
    <t>Hokna</t>
  </si>
  <si>
    <t>قرية حكنه</t>
  </si>
  <si>
    <t>Alemudia vilage</t>
  </si>
  <si>
    <t>قرية العامودية</t>
  </si>
  <si>
    <t>Hay saad</t>
  </si>
  <si>
    <t>حي سعد</t>
  </si>
  <si>
    <t>Jamasuh Village</t>
  </si>
  <si>
    <t>قرية جماسة</t>
  </si>
  <si>
    <t>Ain Hilwa Upper</t>
  </si>
  <si>
    <t>قرية عين حلوة العليا</t>
  </si>
  <si>
    <t>Sahel Hamad Village</t>
  </si>
  <si>
    <t>ساحل حمد</t>
  </si>
  <si>
    <t>jadida</t>
  </si>
  <si>
    <t>قرية جديده</t>
  </si>
  <si>
    <t>Gul Mohamed village</t>
  </si>
  <si>
    <t>قرية كول محمد</t>
  </si>
  <si>
    <t>Biir eakla vilage</t>
  </si>
  <si>
    <t>قرية بئر عكلة</t>
  </si>
  <si>
    <t>Eayan manie</t>
  </si>
  <si>
    <t>قرية عين مانع</t>
  </si>
  <si>
    <t>Faqah Village</t>
  </si>
  <si>
    <t>قرية فقه</t>
  </si>
  <si>
    <t>Abd Billal</t>
  </si>
  <si>
    <t>قرية عبد بلال(الخرايج)</t>
  </si>
  <si>
    <t>Alsawfih</t>
  </si>
  <si>
    <t>قرية صوفيه</t>
  </si>
  <si>
    <t>Shibana Village</t>
  </si>
  <si>
    <t>قرية شيبانه</t>
  </si>
  <si>
    <t>Hay Al Uroba</t>
  </si>
  <si>
    <t>Ein Gahesheya Village</t>
  </si>
  <si>
    <t>قرية عين جحيشية</t>
  </si>
  <si>
    <t>Qaryat Tal Maraq Al Sufla</t>
  </si>
  <si>
    <t>قرية تل مرك سفلى</t>
  </si>
  <si>
    <t>Sleha</t>
  </si>
  <si>
    <t>قرية سليحه</t>
  </si>
  <si>
    <t>Hay Al-Taleea Al-Thalitha</t>
  </si>
  <si>
    <t>حي الطليعة الثالثة</t>
  </si>
  <si>
    <t>Al rahma Village</t>
  </si>
  <si>
    <t>قرية الرحمة</t>
  </si>
  <si>
    <t>Jizrunia village</t>
  </si>
  <si>
    <t>قرية جزرونية</t>
  </si>
  <si>
    <t>Kahreez</t>
  </si>
  <si>
    <t>كهريز</t>
  </si>
  <si>
    <t>Kharab Alteben</t>
  </si>
  <si>
    <t>قرية خراب التبن</t>
  </si>
  <si>
    <t>Kharabat Ashiq</t>
  </si>
  <si>
    <t>قرية خرابت عاشق</t>
  </si>
  <si>
    <t>Sahilah Village</t>
  </si>
  <si>
    <t>سحيله</t>
  </si>
  <si>
    <t>Eayan Alturs</t>
  </si>
  <si>
    <t>قرية عين الفرس</t>
  </si>
  <si>
    <t>Hay Al qalaa</t>
  </si>
  <si>
    <t>Hay Al Arbaeen</t>
  </si>
  <si>
    <t>حي الاربعين</t>
  </si>
  <si>
    <t>Hay Al-Mualemen</t>
  </si>
  <si>
    <t>Qaryat Tal Maraq Ulya</t>
  </si>
  <si>
    <t>قرية تل مرك عليا</t>
  </si>
  <si>
    <t>Karsur vilage</t>
  </si>
  <si>
    <t>قرية كرصور</t>
  </si>
  <si>
    <t>Karbir</t>
  </si>
  <si>
    <t>كربير</t>
  </si>
  <si>
    <t>Al-Aashig Al-Thania Village</t>
  </si>
  <si>
    <t>قرية العاشق الثانية</t>
  </si>
  <si>
    <t>Al karab Al kabeer Al thaneya Village</t>
  </si>
  <si>
    <t>قرية الخراب الكبير الثانية</t>
  </si>
  <si>
    <t xml:space="preserve">Qabak Village </t>
  </si>
  <si>
    <t xml:space="preserve">قرية قبك </t>
  </si>
  <si>
    <t>Hay Al Qadisya</t>
  </si>
  <si>
    <t>Tal Alsimn Village</t>
  </si>
  <si>
    <t>Tal Talab vilage</t>
  </si>
  <si>
    <t>قرية تل طلب</t>
  </si>
  <si>
    <t>Tashta Village</t>
  </si>
  <si>
    <t>قرية طشتة</t>
  </si>
  <si>
    <t>Hay Al-Rabeea</t>
  </si>
  <si>
    <t>Al Sadah Village</t>
  </si>
  <si>
    <t>Al-Waled Village</t>
  </si>
  <si>
    <t>قرية الوليد</t>
  </si>
  <si>
    <t>amla</t>
  </si>
  <si>
    <t>قرية عمله</t>
  </si>
  <si>
    <t>Al-Qadisiya Al-thaniya</t>
  </si>
  <si>
    <t>حي القادسية الثانية</t>
  </si>
  <si>
    <t>Al Alolea Vilage</t>
  </si>
  <si>
    <t>قرية العلولية</t>
  </si>
  <si>
    <t>Hay Al Qalaa Al Thania</t>
  </si>
  <si>
    <t>حي القلعة الثانية</t>
  </si>
  <si>
    <t>Hay Al Muthana</t>
  </si>
  <si>
    <t>Gilbarat Village</t>
  </si>
  <si>
    <t>قرية جلبارات</t>
  </si>
  <si>
    <t>Girchal village</t>
  </si>
  <si>
    <t>قرية كرجال</t>
  </si>
  <si>
    <t>Shalkiyah Village</t>
  </si>
  <si>
    <t>قرية شلكية</t>
  </si>
  <si>
    <t>Al Aziziya</t>
  </si>
  <si>
    <t>Abtakh</t>
  </si>
  <si>
    <t>ابتاخ</t>
  </si>
  <si>
    <t>Karash village 3</t>
  </si>
  <si>
    <t>قرية كرش 3</t>
  </si>
  <si>
    <t>Dabashih Village</t>
  </si>
  <si>
    <t xml:space="preserve">قرية دبشية </t>
  </si>
  <si>
    <t>Hay Alkefah al shmali</t>
  </si>
  <si>
    <t>حي الكفاح الشمالي</t>
  </si>
  <si>
    <t>abu wni</t>
  </si>
  <si>
    <t>قرية أبو وني</t>
  </si>
  <si>
    <t>Fakerok</t>
  </si>
  <si>
    <t>قرية فقيروك</t>
  </si>
  <si>
    <t>Ain Zalah</t>
  </si>
  <si>
    <t xml:space="preserve">عين زاله </t>
  </si>
  <si>
    <t>Alsalihiyah</t>
  </si>
  <si>
    <t>Hay Al Muthana Al Thania</t>
  </si>
  <si>
    <t>حي المثنى الثانية</t>
  </si>
  <si>
    <t>Salihiat alrawia vilage</t>
  </si>
  <si>
    <t>قرية صالحية الراوية</t>
  </si>
  <si>
    <t>Tal aldhdhahab</t>
  </si>
  <si>
    <t>تل الذهب</t>
  </si>
  <si>
    <t>Hay Alkefah al jenobi</t>
  </si>
  <si>
    <t>حي الكفاح الجنوبي</t>
  </si>
  <si>
    <t>AL-mazraa Al-Rabiaa Village</t>
  </si>
  <si>
    <t>قرية مزرعة الرابعة</t>
  </si>
  <si>
    <t>Al Mafri</t>
  </si>
  <si>
    <t>قرية مفري</t>
  </si>
  <si>
    <t>Abu wani Alshamaliu</t>
  </si>
  <si>
    <t>ابو وني الشمالي</t>
  </si>
  <si>
    <t>Qasbat Al Raei Village</t>
  </si>
  <si>
    <t>قرية قصبة الراعي</t>
  </si>
  <si>
    <t>Aou Hanaya Village</t>
  </si>
  <si>
    <t>قرية ابو حنايا</t>
  </si>
  <si>
    <t>Karash village 2</t>
  </si>
  <si>
    <t>قرية كرش 2</t>
  </si>
  <si>
    <t>Tal wardan vilage</t>
  </si>
  <si>
    <t>قرية تل وردان</t>
  </si>
  <si>
    <t>Shindukhah</t>
  </si>
  <si>
    <t>قرية شندوخه</t>
  </si>
  <si>
    <t>Al-Qadisiya Alawla</t>
  </si>
  <si>
    <t>Hay Al Noor Al Thania</t>
  </si>
  <si>
    <t xml:space="preserve">حي النور الثانية </t>
  </si>
  <si>
    <t>abu khushub</t>
  </si>
  <si>
    <t>قرية ابوخشب</t>
  </si>
  <si>
    <t>Humur Eafin</t>
  </si>
  <si>
    <t>قرية حمر عفين</t>
  </si>
  <si>
    <t>Ein Alhilwa</t>
  </si>
  <si>
    <t>قرية عين الحلوة</t>
  </si>
  <si>
    <t>Tal Khidr</t>
  </si>
  <si>
    <t>تل خضر</t>
  </si>
  <si>
    <t>Hay Alasreya</t>
  </si>
  <si>
    <t>حي العصرية</t>
  </si>
  <si>
    <t>Omar khaild Village</t>
  </si>
  <si>
    <t>عمر خالد</t>
  </si>
  <si>
    <t>AL-mazraa Al-thaltha Village</t>
  </si>
  <si>
    <t>قرية المزرعة الثالثة</t>
  </si>
  <si>
    <t>Tabibat Alriyah</t>
  </si>
  <si>
    <t xml:space="preserve">قرية طيبة الرياح </t>
  </si>
  <si>
    <t>Shikak Village</t>
  </si>
  <si>
    <t>شكاك</t>
  </si>
  <si>
    <t>Kalhi Village</t>
  </si>
  <si>
    <t>قرية كلهي</t>
  </si>
  <si>
    <t>Tilkaif Center</t>
  </si>
  <si>
    <t>مركز تلكيف</t>
  </si>
  <si>
    <t>Kany-Sheren</t>
  </si>
  <si>
    <t>كاني شيرين</t>
  </si>
  <si>
    <t>Kory-Ishak</t>
  </si>
  <si>
    <t>كري اسحق</t>
  </si>
  <si>
    <t>Tal Adas</t>
  </si>
  <si>
    <t>تل عدس</t>
  </si>
  <si>
    <t>Babnet Al_ olyia</t>
  </si>
  <si>
    <t>بابنيت العليا</t>
  </si>
  <si>
    <t>Trro</t>
  </si>
  <si>
    <t>قرية طرو</t>
  </si>
  <si>
    <t>Tall Mashraf</t>
  </si>
  <si>
    <t>قرية تل مشرف</t>
  </si>
  <si>
    <t>Tallsquf</t>
  </si>
  <si>
    <t>تللسقف</t>
  </si>
  <si>
    <t xml:space="preserve">Babnet Village </t>
  </si>
  <si>
    <t>قرية بابنيت</t>
  </si>
  <si>
    <t>Musqalat Al-Shamalih</t>
  </si>
  <si>
    <t>مسقلاط الشمالية</t>
  </si>
  <si>
    <t>Mesrig Gaded</t>
  </si>
  <si>
    <t>مصرج جديد</t>
  </si>
  <si>
    <t>Dwanish</t>
  </si>
  <si>
    <t>قرية الدوانش</t>
  </si>
  <si>
    <t>Hasan-Galad</t>
  </si>
  <si>
    <t>قرية حسن جلاد</t>
  </si>
  <si>
    <t>Runik</t>
  </si>
  <si>
    <t>قرية رونك</t>
  </si>
  <si>
    <t>Mehwer Al-Gnoby</t>
  </si>
  <si>
    <t>محوير الجنوبي</t>
  </si>
  <si>
    <t>Al Qawsiyat</t>
  </si>
  <si>
    <t>القوسيات</t>
  </si>
  <si>
    <t>Badria</t>
  </si>
  <si>
    <t>بدرية</t>
  </si>
  <si>
    <t>Kharab shatani</t>
  </si>
  <si>
    <t>خرابة شطاني</t>
  </si>
  <si>
    <t>Sada Area</t>
  </si>
  <si>
    <t>منطقة السادة</t>
  </si>
  <si>
    <t>chaqlow Village</t>
  </si>
  <si>
    <t>قرية جقلو</t>
  </si>
  <si>
    <t>Garkhush</t>
  </si>
  <si>
    <t>قرية كرخوش</t>
  </si>
  <si>
    <t>Semehla</t>
  </si>
  <si>
    <t>قرية سيمحلة</t>
  </si>
  <si>
    <t>Batnaya</t>
  </si>
  <si>
    <t>باطنايا</t>
  </si>
  <si>
    <t>Derston</t>
  </si>
  <si>
    <t xml:space="preserve">دير ستون </t>
  </si>
  <si>
    <t>Ammar Bet Village</t>
  </si>
  <si>
    <t>قرية عمار بيت</t>
  </si>
  <si>
    <t>Diwasa</t>
  </si>
  <si>
    <t>قرية دواسة</t>
  </si>
  <si>
    <t>Al-Naser Complex</t>
  </si>
  <si>
    <t>مجمع النصر</t>
  </si>
  <si>
    <t>Shwedeg Sagheer</t>
  </si>
  <si>
    <t>شويدج صغير</t>
  </si>
  <si>
    <t>Mosul Dam</t>
  </si>
  <si>
    <t xml:space="preserve">مشروع سد الموصل </t>
  </si>
  <si>
    <t>Baawiza</t>
  </si>
  <si>
    <t>بعويزة</t>
  </si>
  <si>
    <t>Al-Mistah</t>
  </si>
  <si>
    <t>المسطاح</t>
  </si>
  <si>
    <t>Baqofa</t>
  </si>
  <si>
    <t>باقوفا</t>
  </si>
  <si>
    <t>Manara</t>
  </si>
  <si>
    <t>منارة</t>
  </si>
  <si>
    <t>Ammar Kubar Village</t>
  </si>
  <si>
    <t>قرية عمار كبر</t>
  </si>
  <si>
    <t>Pabera Complex</t>
  </si>
  <si>
    <t>مجمع بابيرة</t>
  </si>
  <si>
    <t>Der Umtutha</t>
  </si>
  <si>
    <t>قرية ديرام توثة</t>
  </si>
  <si>
    <t>Mehwer Al-Shemaly</t>
  </si>
  <si>
    <t xml:space="preserve">محوير الشمالي </t>
  </si>
  <si>
    <t>Al Quba</t>
  </si>
  <si>
    <t>القبة</t>
  </si>
  <si>
    <t>Qara-Kharab</t>
  </si>
  <si>
    <t>قره خراب</t>
  </si>
  <si>
    <t>Telhemyan</t>
  </si>
  <si>
    <t>تلهميان</t>
  </si>
  <si>
    <t>wanna center</t>
  </si>
  <si>
    <t>مركز وانة</t>
  </si>
  <si>
    <t>Shwedij Village</t>
  </si>
  <si>
    <t>قرية شويدج</t>
  </si>
  <si>
    <t>Felfel</t>
  </si>
  <si>
    <t>قرية فلفيل</t>
  </si>
  <si>
    <t>Eghzaiel</t>
  </si>
  <si>
    <t>قرية أغزيل</t>
  </si>
  <si>
    <t>Kerij</t>
  </si>
  <si>
    <t>كرج</t>
  </si>
  <si>
    <t>Sheheyia Village</t>
  </si>
  <si>
    <t>قرية الشيحية</t>
  </si>
  <si>
    <t>Hay Al Mahad</t>
  </si>
  <si>
    <t>حي المعهد</t>
  </si>
  <si>
    <t>Hay Al Aboor</t>
  </si>
  <si>
    <t>Hay Tal Al Banat</t>
  </si>
  <si>
    <t>حي تل البنات</t>
  </si>
  <si>
    <t>Al Mujammaa Al Sakani</t>
  </si>
  <si>
    <t>المجمع السكني</t>
  </si>
  <si>
    <t>Al Asriyah village</t>
  </si>
  <si>
    <t>Al-Khadhra area</t>
  </si>
  <si>
    <t>Hay Al Askri</t>
  </si>
  <si>
    <t>Hay Abu Dalaf</t>
  </si>
  <si>
    <t>حي ابو دلف</t>
  </si>
  <si>
    <t>Hay Mohammad Aldorri-Mhalla 107</t>
  </si>
  <si>
    <t>محمد الدري محلة 107</t>
  </si>
  <si>
    <t>Hay Al Qadisiah</t>
  </si>
  <si>
    <t>Hay Al Sharqiyah</t>
  </si>
  <si>
    <t>حي الشرقية</t>
  </si>
  <si>
    <t>Al-Shehabbi Village</t>
  </si>
  <si>
    <t>قرية الشهابي</t>
  </si>
  <si>
    <t>Bezna Village</t>
  </si>
  <si>
    <t>قرية بزنة</t>
  </si>
  <si>
    <t>Albo Fadaus Village</t>
  </si>
  <si>
    <t>قرية البوفدعوس</t>
  </si>
  <si>
    <t>Al-Ajelyah Village</t>
  </si>
  <si>
    <t>قرية العجيليه</t>
  </si>
  <si>
    <t>Qaryat Mujamma Al Waleed</t>
  </si>
  <si>
    <t>قرية مجمع الوليد</t>
  </si>
  <si>
    <t>Al-Ayitha Village</t>
  </si>
  <si>
    <t>قريةالعيثة(جرناف شرقي)</t>
  </si>
  <si>
    <t>Qunytrah Village</t>
  </si>
  <si>
    <t>Al-Qalaa Village</t>
  </si>
  <si>
    <t>Al-Horya Al-Qadema village</t>
  </si>
  <si>
    <t>قرية الحورية القديمة</t>
  </si>
  <si>
    <t>Tal Al Jumiala area</t>
  </si>
  <si>
    <t xml:space="preserve">تل بعاجة 1 وتل اجميلة </t>
  </si>
  <si>
    <t>Hay Al-noor</t>
  </si>
  <si>
    <t>Tal Al-Farah Village</t>
  </si>
  <si>
    <t>قرية تل الفارة</t>
  </si>
  <si>
    <t>Al Draat village</t>
  </si>
  <si>
    <t>قرية الدرعات</t>
  </si>
  <si>
    <t>Hay Al Ziraa</t>
  </si>
  <si>
    <t>حي الزراعه</t>
  </si>
  <si>
    <t>Awad Al Tawee complex</t>
  </si>
  <si>
    <t>مجمع عواد الطاوي</t>
  </si>
  <si>
    <t>Tulul Baq</t>
  </si>
  <si>
    <t>قريه تلول الباج</t>
  </si>
  <si>
    <t>Al-Salman village</t>
  </si>
  <si>
    <t>قرية السلمان</t>
  </si>
  <si>
    <t>Anig Al-Hawa village</t>
  </si>
  <si>
    <t>قرية عنك الهوا</t>
  </si>
  <si>
    <t>Al-Talaah Village</t>
  </si>
  <si>
    <t>قرية الطالعة</t>
  </si>
  <si>
    <t>Sudayrah Tak Tak Village</t>
  </si>
  <si>
    <t>قرية سديره طك طك</t>
  </si>
  <si>
    <t>Al-Sheekh Hamad Village</t>
  </si>
  <si>
    <t>قرية الشيخ حمد</t>
  </si>
  <si>
    <t>Sharia</t>
  </si>
  <si>
    <t>شريعة</t>
  </si>
  <si>
    <t>Wadi Al-Shouk Village</t>
  </si>
  <si>
    <t>قرية وادي الشوك</t>
  </si>
  <si>
    <t>Al-Sura village</t>
  </si>
  <si>
    <t>قرية السورة</t>
  </si>
  <si>
    <t>Albu Omera village</t>
  </si>
  <si>
    <t>قرية البو عميرة</t>
  </si>
  <si>
    <t>Al Fajir village(Al Tasni)</t>
  </si>
  <si>
    <t>قرية الفجر</t>
  </si>
  <si>
    <t>Al Khanuga village</t>
  </si>
  <si>
    <t>قرية الخانوكة</t>
  </si>
  <si>
    <t>Hay Al Qasbah</t>
  </si>
  <si>
    <t>حي القصبة</t>
  </si>
  <si>
    <t>Shattye Al-Jider village</t>
  </si>
  <si>
    <t>شاطي الجدر</t>
  </si>
  <si>
    <t>Ganus Fuqani (Gunos Khmisat)</t>
  </si>
  <si>
    <t>كنعوص فوقاني قرية( كنعوص الخميسات)</t>
  </si>
  <si>
    <t>Al-Qudus</t>
  </si>
  <si>
    <t>Hay Al-Baladyat</t>
  </si>
  <si>
    <t>حي البلديات</t>
  </si>
  <si>
    <t>Al-Jafr Al-Har village</t>
  </si>
  <si>
    <t>قرية الجفر الحار</t>
  </si>
  <si>
    <t>Ein Hiyawy Village</t>
  </si>
  <si>
    <t>قرية عين حياوي</t>
  </si>
  <si>
    <t>Al-Mashhad Village</t>
  </si>
  <si>
    <t>قرية المشهد</t>
  </si>
  <si>
    <t>Hay Tal Baajah</t>
  </si>
  <si>
    <t>حي تل بعاجة</t>
  </si>
  <si>
    <t>Huriyah al jazerah-Al-Aboud</t>
  </si>
  <si>
    <t>قرية العبود</t>
  </si>
  <si>
    <t>Al-Sfeena Village</t>
  </si>
  <si>
    <t>Ali Al Nada complex</t>
  </si>
  <si>
    <t>مجمع علي الندا</t>
  </si>
  <si>
    <t>Shyala village</t>
  </si>
  <si>
    <t xml:space="preserve"> قرية شيالة</t>
  </si>
  <si>
    <t>Al-Swedan Village</t>
  </si>
  <si>
    <t>قرية سويدان</t>
  </si>
  <si>
    <t>Ganus Sufla</t>
  </si>
  <si>
    <t>كنعوص سفلى</t>
  </si>
  <si>
    <t>Sudayrah Sufla Village</t>
  </si>
  <si>
    <t>قرية سديره سفلى</t>
  </si>
  <si>
    <t>Lizaqah Village</t>
  </si>
  <si>
    <t>قرية اللزاكة</t>
  </si>
  <si>
    <t>Sudayrah Aulya Village</t>
  </si>
  <si>
    <t>قرية سديره عليا</t>
  </si>
  <si>
    <t>Awegylah Village</t>
  </si>
  <si>
    <t>قرية عويجيلة</t>
  </si>
  <si>
    <t>Al Khadraniyah</t>
  </si>
  <si>
    <t>قرية الخضرانية</t>
  </si>
  <si>
    <t>Al-Huqqna village</t>
  </si>
  <si>
    <t>قرية الحكنة</t>
  </si>
  <si>
    <t>Baaja</t>
  </si>
  <si>
    <t>حاوي بعاجه حاوي-حضر</t>
  </si>
  <si>
    <t>Al-Nayfah Village</t>
  </si>
  <si>
    <t>قرية النايفة</t>
  </si>
  <si>
    <t>Al Ean Al Bedha Village</t>
  </si>
  <si>
    <t>قرية عين البيضاء</t>
  </si>
  <si>
    <t>Hay Al-Khasim Al-Qadem village</t>
  </si>
  <si>
    <t>قرية الخصم القديمة</t>
  </si>
  <si>
    <t>Ganus Ulya(Gunos Emam)</t>
  </si>
  <si>
    <t xml:space="preserve"> كنعوص عليا( كنعوص الامام)</t>
  </si>
  <si>
    <t>Qaryat Al Sabkha</t>
  </si>
  <si>
    <t>قرية الصبخة</t>
  </si>
  <si>
    <t>Hay Al Jumiala</t>
  </si>
  <si>
    <t>حي الجميلة</t>
  </si>
  <si>
    <t>Sudayrah Westa Village</t>
  </si>
  <si>
    <t>قرية سديره وسطى</t>
  </si>
  <si>
    <t>Al-Nahya village</t>
  </si>
  <si>
    <t xml:space="preserve"> قرية الناهية</t>
  </si>
  <si>
    <t>Al-Jaghyifah Village</t>
  </si>
  <si>
    <t>قرية الجغايفة</t>
  </si>
  <si>
    <t>Al Khasim Al-Jaded village-Al qlisat</t>
  </si>
  <si>
    <t>قرية الخصم الجديدة(القليصات)</t>
  </si>
  <si>
    <t>Al-Musehly Village</t>
  </si>
  <si>
    <t>قرية المسيحلي</t>
  </si>
  <si>
    <t>Ghader Al-Shouk Village</t>
  </si>
  <si>
    <t>قرية غدير الشوك</t>
  </si>
  <si>
    <t>Al Hejaj Village-13</t>
  </si>
  <si>
    <t>مقاطعة 13 الحجاج والجيسات-قرية الحجاج</t>
  </si>
  <si>
    <t>Al Bije Wa Hawijat Al Bije</t>
  </si>
  <si>
    <t>البعيجي وحويجة البعيجي</t>
  </si>
  <si>
    <t>Albu Jwari</t>
  </si>
  <si>
    <t>البو جواري</t>
  </si>
  <si>
    <t>Hay Alnour village</t>
  </si>
  <si>
    <t>قرية حي النور</t>
  </si>
  <si>
    <t>Tal abu Jarad area-Mahalla 104</t>
  </si>
  <si>
    <t>تل أبو جراد محلة 104</t>
  </si>
  <si>
    <t>Alrihewat village</t>
  </si>
  <si>
    <t>قرية الرهيوات</t>
  </si>
  <si>
    <t>Muhammed Almusa village</t>
  </si>
  <si>
    <t>قرية محمد الموسى</t>
  </si>
  <si>
    <t>Qaryat Al Sareen</t>
  </si>
  <si>
    <t>مقاطعة 13 الحجاج والجيسات قرية الصرين</t>
  </si>
  <si>
    <t>Alasheteeh village</t>
  </si>
  <si>
    <t>قرية الاشيطح</t>
  </si>
  <si>
    <t>Al Shiwesh village</t>
  </si>
  <si>
    <t>الشويش والعجاجي قرية شويش</t>
  </si>
  <si>
    <t xml:space="preserve">Al-Zweeyah Village </t>
  </si>
  <si>
    <t xml:space="preserve">قرية الزوية </t>
  </si>
  <si>
    <t>AlMalha AlGharbiya village</t>
  </si>
  <si>
    <t>قرية المالحة الغربية</t>
  </si>
  <si>
    <t>Alshatt village</t>
  </si>
  <si>
    <t>قرية الشط</t>
  </si>
  <si>
    <t>Malha village</t>
  </si>
  <si>
    <t xml:space="preserve">قرية الملحة </t>
  </si>
  <si>
    <t>Hay Tal Al Zatar-mahalla 219</t>
  </si>
  <si>
    <t>حي تل الزعتر م(15-البندري والاشيطح)محلة</t>
  </si>
  <si>
    <t>Al Mazraa Village</t>
  </si>
  <si>
    <t>قرية المزرعة</t>
  </si>
  <si>
    <t>AL-Zaytoon</t>
  </si>
  <si>
    <t>الزيتون</t>
  </si>
  <si>
    <t>AL-Siniya</t>
  </si>
  <si>
    <t>الصينية</t>
  </si>
  <si>
    <t>AlSalman Village</t>
  </si>
  <si>
    <t>Markaz Makhoul</t>
  </si>
  <si>
    <t>مركز مكحول</t>
  </si>
  <si>
    <t>Al Hamra village</t>
  </si>
  <si>
    <t>قرية الحمرة</t>
  </si>
  <si>
    <t>Jedaeda village</t>
  </si>
  <si>
    <t>قرية جديدة</t>
  </si>
  <si>
    <t>Al-asry Al-Jnoby neighborhood</t>
  </si>
  <si>
    <t>حي العصري الجنوبي</t>
  </si>
  <si>
    <t>Albu Tuama Village</t>
  </si>
  <si>
    <t>قرية البوطعمة</t>
  </si>
  <si>
    <t>AL-Khalfa</t>
  </si>
  <si>
    <t>Al Mushhaq Village</t>
  </si>
  <si>
    <t>قرية المسحك</t>
  </si>
  <si>
    <t>Hay Alaskari-2</t>
  </si>
  <si>
    <t>حي العسكري الثاني</t>
  </si>
  <si>
    <t>Hay Alrisalah</t>
  </si>
  <si>
    <t>Sheik Ali village</t>
  </si>
  <si>
    <t>قرية الشيخ علي</t>
  </si>
  <si>
    <t>Alharejiya village</t>
  </si>
  <si>
    <t>قرية الحريجية</t>
  </si>
  <si>
    <t>Hay Alasmida</t>
  </si>
  <si>
    <t>حي الأسمدة</t>
  </si>
  <si>
    <t>Al Namel Village</t>
  </si>
  <si>
    <t>قرية النمل</t>
  </si>
  <si>
    <t xml:space="preserve">Al-asry Al-Shimaly neighborhood-Jedaeda village </t>
  </si>
  <si>
    <t>حي العصري الشمالي-قرية الجديدة</t>
  </si>
  <si>
    <t>Alhanshi village</t>
  </si>
  <si>
    <t>قرية الهنشي</t>
  </si>
  <si>
    <t>Hay Almuhandiseen</t>
  </si>
  <si>
    <t>حي المهندسين</t>
  </si>
  <si>
    <t>Almsaltin village</t>
  </si>
  <si>
    <t>Hay Alaskari-1</t>
  </si>
  <si>
    <t>حي العسكري الاول</t>
  </si>
  <si>
    <t>Hay Altameem</t>
  </si>
  <si>
    <t>Hyundai village</t>
  </si>
  <si>
    <t>قرية هونداي</t>
  </si>
  <si>
    <t>AL-Zahwer</t>
  </si>
  <si>
    <t>Al-Duloeyah-Hay Al Jubor</t>
  </si>
  <si>
    <t>محلة الجبور الاولى</t>
  </si>
  <si>
    <t>Beshakan village</t>
  </si>
  <si>
    <t>قرية بيشكان</t>
  </si>
  <si>
    <t>Sinjaar</t>
  </si>
  <si>
    <t>قرية سنجار</t>
  </si>
  <si>
    <t>Jwezerat</t>
  </si>
  <si>
    <t>قرية جويزرات</t>
  </si>
  <si>
    <t>Al_Farhateya village</t>
  </si>
  <si>
    <t>قرية الفرحاتية</t>
  </si>
  <si>
    <t>Al-Duloeyah-Hay khazraj</t>
  </si>
  <si>
    <t>محلة خزرج</t>
  </si>
  <si>
    <t>Aziz Balad</t>
  </si>
  <si>
    <t>عزيز بلد</t>
  </si>
  <si>
    <t>Albu Jewari</t>
  </si>
  <si>
    <t>محلة البو جواري</t>
  </si>
  <si>
    <t>Al-Juboor Village</t>
  </si>
  <si>
    <t>قرية الجبور والحويجة ا</t>
  </si>
  <si>
    <t>OM Shaeefa</t>
  </si>
  <si>
    <t>قرية ام شعيفة</t>
  </si>
  <si>
    <t xml:space="preserve">Yathrib sub distrct </t>
  </si>
  <si>
    <t>ناحية يثرب</t>
  </si>
  <si>
    <t>Al-Hewaish area</t>
  </si>
  <si>
    <t>قرية الحويش</t>
  </si>
  <si>
    <t>Al-Abasiya Village</t>
  </si>
  <si>
    <t>Hawi Albsat</t>
  </si>
  <si>
    <t>مقاطعة 27 حاوى البساط</t>
  </si>
  <si>
    <t>Al-Tresha-Albu Fahed</t>
  </si>
  <si>
    <t>البو فهد</t>
  </si>
  <si>
    <t>Al_Jazera</t>
  </si>
  <si>
    <t>مقاطعة 9 الجزيرة(الجزءالجنوبي)</t>
  </si>
  <si>
    <t>Al-Tresha-Albu Shatb</t>
  </si>
  <si>
    <t>قرية البو شطب</t>
  </si>
  <si>
    <t>Al-Jillam area</t>
  </si>
  <si>
    <t>منطقة الجلام</t>
  </si>
  <si>
    <t>Banat Al-hassan village</t>
  </si>
  <si>
    <t>قرية بنات الحسن</t>
  </si>
  <si>
    <t>Mahalla Makeshfa</t>
  </si>
  <si>
    <t>محلة مكيشفة</t>
  </si>
  <si>
    <t>Al Sayoya-Mahala 1</t>
  </si>
  <si>
    <t>محلة الصعيوية-1</t>
  </si>
  <si>
    <t>Aldleimat Village</t>
  </si>
  <si>
    <t>قرية الدليمات</t>
  </si>
  <si>
    <t>Mahalla Al muwadafeen</t>
  </si>
  <si>
    <t>حي الموظفين(27الخرجة والعالي)محلة الموظفين</t>
  </si>
  <si>
    <t>Hay Al Anwaa Mahala 420</t>
  </si>
  <si>
    <t>حي الانواء-محلة 420</t>
  </si>
  <si>
    <t>Hay Aljamiyaa</t>
  </si>
  <si>
    <t>حي الجمعية-محله 418</t>
  </si>
  <si>
    <t>Al khuzamiya Village</t>
  </si>
  <si>
    <t>قرية الخزامية</t>
  </si>
  <si>
    <t>Qadisya 2 Mahala 216</t>
  </si>
  <si>
    <t>حي المطاردة(قادسية2)مقاطعة 7-محله 216</t>
  </si>
  <si>
    <t>Hay Al-Sikak</t>
  </si>
  <si>
    <t>Sadayrat Abo Ajeel</t>
  </si>
  <si>
    <t>صديرة ابو عجيل</t>
  </si>
  <si>
    <t>Al Karama Village</t>
  </si>
  <si>
    <t>Awajealah Quarter</t>
  </si>
  <si>
    <t>حي عويجيلية-م(27-الخرجة والعالي)</t>
  </si>
  <si>
    <t>Hay Al Mualimeen-406</t>
  </si>
  <si>
    <t>حي المعلمين محلة-406</t>
  </si>
  <si>
    <t>Al-Muskarat</t>
  </si>
  <si>
    <t>منطقة المعسكرات</t>
  </si>
  <si>
    <t>Al Namah Al Janobiyah Village</t>
  </si>
  <si>
    <t>الناعمة الجنوبية قرية الناعمة</t>
  </si>
  <si>
    <t>Hay Alkahrbaa</t>
  </si>
  <si>
    <t>Hay Alarbaen</t>
  </si>
  <si>
    <t>حي الاربعين-محله 414</t>
  </si>
  <si>
    <t>Hay Salma Altaghlubia</t>
  </si>
  <si>
    <t>حي سلمى التغلبيه-محله 401</t>
  </si>
  <si>
    <t>Al-Khanag village</t>
  </si>
  <si>
    <t>قرية الخنك</t>
  </si>
  <si>
    <t>Al-Shahama Village</t>
  </si>
  <si>
    <t>قرية الشهامة</t>
  </si>
  <si>
    <t>Hay Aldiuom</t>
  </si>
  <si>
    <t>حي الديوم-مقاطعة 211-ديوم تكريت</t>
  </si>
  <si>
    <t>Hay Al baladiyah</t>
  </si>
  <si>
    <t>حي البلدية-م(27-الخرجة والعالي)</t>
  </si>
  <si>
    <t>Mahalla Al Aed</t>
  </si>
  <si>
    <t>حي العائد(27-الخرجة والعالي)محلة العائد</t>
  </si>
  <si>
    <t>Hay Al-Tajneed</t>
  </si>
  <si>
    <t>Hay Al Asry Al Jadid-404</t>
  </si>
  <si>
    <t>حي العصري-محلة 404</t>
  </si>
  <si>
    <t>Hay Al-Wihda</t>
  </si>
  <si>
    <t>Al Mahzam village</t>
  </si>
  <si>
    <t>قرية المحزم</t>
  </si>
  <si>
    <t>Qadisya 1 Mahala 214</t>
  </si>
  <si>
    <t>حي المطاردة(قادسية1)مقاطعة 7-محله 214</t>
  </si>
  <si>
    <t>Al Bzikhah Village</t>
  </si>
  <si>
    <t>قرية البزيخة</t>
  </si>
  <si>
    <t>Al Baladiyat-402</t>
  </si>
  <si>
    <t>البلديات-402</t>
  </si>
  <si>
    <t>Hay Alqalaa</t>
  </si>
  <si>
    <t>حي القلعة(6-تكريت)محلة 405</t>
  </si>
  <si>
    <t>Hay Al-Quthat</t>
  </si>
  <si>
    <t>حي القضاة</t>
  </si>
  <si>
    <t>Al Namah Al ShamaliyahVillage</t>
  </si>
  <si>
    <t>قرية الناعمة الشمالية</t>
  </si>
  <si>
    <t>Uwainat</t>
  </si>
  <si>
    <t>عوينات</t>
  </si>
  <si>
    <t>Hay Alziraa</t>
  </si>
  <si>
    <t>حي الزراعة</t>
  </si>
  <si>
    <t>Hay Al Zuhour-422</t>
  </si>
  <si>
    <t>حي الزهور محلة-422</t>
  </si>
  <si>
    <t>Al-Dibsa Village</t>
  </si>
  <si>
    <t>قرية الدبسة</t>
  </si>
  <si>
    <t>Hay Al Jamiyah</t>
  </si>
  <si>
    <t>حي الجمعية-2</t>
  </si>
  <si>
    <t>Al Safiya village</t>
  </si>
  <si>
    <t>قرية الصافية</t>
  </si>
  <si>
    <t>Hay Al sinay-Al samad</t>
  </si>
  <si>
    <t>حي الصناعي-م(51-المجرة وتل رجيم)قرية الصمد</t>
  </si>
  <si>
    <t>Hammad Shihab</t>
  </si>
  <si>
    <t>قرية حماد شهاب</t>
  </si>
  <si>
    <t>Al Shaheed Abdulla village</t>
  </si>
  <si>
    <t>قرية الشهيد عبدالله جباره</t>
  </si>
  <si>
    <t>Hay Alfirdous</t>
  </si>
  <si>
    <t>حي الفردوس(البو عبيد)مقاطعة-5 محلة 428</t>
  </si>
  <si>
    <t>Al Ahad Al Jadid village</t>
  </si>
  <si>
    <t>قرية العهد الجديد</t>
  </si>
  <si>
    <t>Al Zallayah village</t>
  </si>
  <si>
    <t>قرية الزلاية</t>
  </si>
  <si>
    <t>Qadisya 2 500 Area</t>
  </si>
  <si>
    <t>حي المطاردة(قادسية2)مقاطعة 7 محله 218 – قطعه 500</t>
  </si>
  <si>
    <t>Al Haweja village-AlAbady</t>
  </si>
  <si>
    <t>قرية الحويجة-العبادي</t>
  </si>
  <si>
    <t>Qaryat Erbaidha</t>
  </si>
  <si>
    <t>قرية أربيضة</t>
  </si>
  <si>
    <t>Samrah Village</t>
  </si>
  <si>
    <t>قرية سمرة</t>
  </si>
  <si>
    <t>Al-Mutaradah 204</t>
  </si>
  <si>
    <t>حي الشهداء مقاطعة 7-المطاردة محلة 204</t>
  </si>
  <si>
    <t>Hay Sheshen Mahal 408</t>
  </si>
  <si>
    <t>حي شيشين-مقاطعة 5-وادي شيشين محلة 408</t>
  </si>
  <si>
    <t>Tal-Al Sibaat Village</t>
  </si>
  <si>
    <t>قرية تل السيباط</t>
  </si>
  <si>
    <t>Hay 100 dar</t>
  </si>
  <si>
    <t>حي 100 دار</t>
  </si>
  <si>
    <t>Hay AL Suqour</t>
  </si>
  <si>
    <t>حي الصقور</t>
  </si>
  <si>
    <t>Hay Aqsu</t>
  </si>
  <si>
    <t>حي اقصو</t>
  </si>
  <si>
    <t>Chardaghli village</t>
  </si>
  <si>
    <t>قرية جرداغلي</t>
  </si>
  <si>
    <t>Markaz Tooz-Hay Al Hussien 124</t>
  </si>
  <si>
    <t>محلة 124 الحسين</t>
  </si>
  <si>
    <t xml:space="preserve">Abod village </t>
  </si>
  <si>
    <t>قرية عبود</t>
  </si>
  <si>
    <t>Hay Al-Ahrar-Al-Makrama</t>
  </si>
  <si>
    <t>حي الاحرار-المكرمة</t>
  </si>
  <si>
    <t>Hay Al-Teen</t>
  </si>
  <si>
    <t>حي التين</t>
  </si>
  <si>
    <t>Qara Naz village</t>
  </si>
  <si>
    <t>قرية قرناز</t>
  </si>
  <si>
    <t>Maftol Al Sagher Village</t>
  </si>
  <si>
    <t>قرية مفتول الصغير</t>
  </si>
  <si>
    <t>Hay Wahid Huzayran</t>
  </si>
  <si>
    <t>حي واحد حزيران</t>
  </si>
  <si>
    <t>Markaz Tooz-Hay Imam Ahmed</t>
  </si>
  <si>
    <t>حي امام احمد</t>
  </si>
  <si>
    <t>Hay Rizgari-114</t>
  </si>
  <si>
    <t>حي رزكاري م(5-الطوز)محلة 114</t>
  </si>
  <si>
    <t>Brawchili village</t>
  </si>
  <si>
    <t>قرية براوجيلي</t>
  </si>
  <si>
    <t>Sulayman Beg sub district center</t>
  </si>
  <si>
    <t>مركز ناحية سليمان بيك</t>
  </si>
  <si>
    <t>Hay Komari-120</t>
  </si>
  <si>
    <t>حي كوماري م(5-الطوز)محلة 120</t>
  </si>
  <si>
    <t>Hay Al-Askareen</t>
  </si>
  <si>
    <t>حي العسكريين</t>
  </si>
  <si>
    <t>Hay Al-Shohadaa</t>
  </si>
  <si>
    <t>Khasadarly Village</t>
  </si>
  <si>
    <t>قرية خصدارلي</t>
  </si>
  <si>
    <t>Hay Sabaa Tamoz</t>
  </si>
  <si>
    <t>حي سبعة تموز</t>
  </si>
  <si>
    <t xml:space="preserve">Tapa Sawz Village </t>
  </si>
  <si>
    <t>قرية تبة سوز</t>
  </si>
  <si>
    <t>Yangija Village</t>
  </si>
  <si>
    <t>قرية ينكجة</t>
  </si>
  <si>
    <t>Markaz Tooz-Hay Al Askari</t>
  </si>
  <si>
    <t>Markaz Tooz-Hay Al Taiyar 122</t>
  </si>
  <si>
    <t>محلة 122</t>
  </si>
  <si>
    <t>Hay Garmian</t>
  </si>
  <si>
    <t>حي كرميان</t>
  </si>
  <si>
    <t>Markaz Tooz-Hay Brayati</t>
  </si>
  <si>
    <t>محلة برايتي</t>
  </si>
  <si>
    <t xml:space="preserve">Bir Ahmed Mohammed  village </t>
  </si>
  <si>
    <t>قرية بئر احمد محمد</t>
  </si>
  <si>
    <t>Hay Al-Nasr</t>
  </si>
  <si>
    <t>Maftol Al Kaber Village</t>
  </si>
  <si>
    <t>قرية مفتول الكبير</t>
  </si>
  <si>
    <t>Others</t>
  </si>
  <si>
    <t>Shelter</t>
  </si>
  <si>
    <t>Families</t>
  </si>
  <si>
    <t>Habitual Residnece (Habitable)</t>
  </si>
  <si>
    <t>Critical Shelter</t>
  </si>
  <si>
    <t>Private Setting</t>
  </si>
  <si>
    <t>Total # of Returnees</t>
  </si>
  <si>
    <t>Shelter Type(in red, classified as critical shelters)</t>
  </si>
  <si>
    <t>Other formal settlements/ collective centres</t>
  </si>
  <si>
    <t>IOM is pleased to share with you the latest Displacement Tracking Matrix (DTM) Dataset Round 115, covering the months of March and April 2020</t>
  </si>
  <si>
    <t>DTM : Returnee Master List Date 29-04-2020</t>
  </si>
  <si>
    <t>Hay Jbeal</t>
  </si>
  <si>
    <t>Um hijarah</t>
  </si>
  <si>
    <t>ام حجاره</t>
  </si>
  <si>
    <t>Al-daiekh</t>
  </si>
  <si>
    <t>الديخ</t>
  </si>
  <si>
    <t>Amkibra village</t>
  </si>
  <si>
    <t xml:space="preserve">قرية امكيبرة </t>
  </si>
  <si>
    <t>Hami</t>
  </si>
  <si>
    <t>قرية حمي</t>
  </si>
  <si>
    <t>Al-ahbarah</t>
  </si>
  <si>
    <t>الاهباره</t>
  </si>
  <si>
    <t>Al-ayaine</t>
  </si>
  <si>
    <t>العواني</t>
  </si>
  <si>
    <t>Beer Alhaloo</t>
  </si>
  <si>
    <t>بئر الحلو</t>
  </si>
  <si>
    <t>Al-manaah</t>
  </si>
  <si>
    <t>المانع</t>
  </si>
  <si>
    <t>Al-mashrif</t>
  </si>
  <si>
    <t>المشرف</t>
  </si>
  <si>
    <t>Um jurais</t>
  </si>
  <si>
    <t>ام جريص</t>
  </si>
  <si>
    <t>Qaserki</t>
  </si>
  <si>
    <t>قسركي</t>
  </si>
  <si>
    <t>Al-gargashee</t>
  </si>
  <si>
    <t>الكركشي</t>
  </si>
  <si>
    <t>Mazerah</t>
  </si>
  <si>
    <t>مزيرعه</t>
  </si>
  <si>
    <t>abo khashab</t>
  </si>
  <si>
    <t>ابو خشب</t>
  </si>
  <si>
    <t>Abtakh alskarya village</t>
  </si>
  <si>
    <t>ابطخ السكري</t>
  </si>
  <si>
    <t>Khotlah</t>
  </si>
  <si>
    <t>خويتله</t>
  </si>
  <si>
    <t>Kharab Bazar</t>
  </si>
  <si>
    <t>خراب بازار</t>
  </si>
  <si>
    <t>Dahir alhirmas</t>
  </si>
  <si>
    <t>ضاهر الهرماس</t>
  </si>
  <si>
    <t>Al-raawiah</t>
  </si>
  <si>
    <t>الراويه</t>
  </si>
  <si>
    <t>Chaier khifas</t>
  </si>
  <si>
    <t>جاير غلفاص</t>
  </si>
  <si>
    <t>AL-fareed</t>
  </si>
  <si>
    <t>الفريد</t>
  </si>
  <si>
    <t>Thry algarah</t>
  </si>
  <si>
    <t>ثري الكراح</t>
  </si>
  <si>
    <t>Marzugta almurgab</t>
  </si>
  <si>
    <t>مرزوكة المركب</t>
  </si>
  <si>
    <t>Bab alkhair</t>
  </si>
  <si>
    <t>باب الخير</t>
  </si>
  <si>
    <t>Juar alsharqiah</t>
  </si>
  <si>
    <t>جوار الشرقيه</t>
  </si>
  <si>
    <t>Tal azo village</t>
  </si>
  <si>
    <t>قرية تل عزو</t>
  </si>
  <si>
    <t>Mutalat almurgab</t>
  </si>
  <si>
    <t>مطلة المركب</t>
  </si>
  <si>
    <t>Dabshiat um sadayrah</t>
  </si>
  <si>
    <t>دبشية ام صديره</t>
  </si>
  <si>
    <t>Kharab alajaz</t>
  </si>
  <si>
    <t>خراب العجز</t>
  </si>
  <si>
    <t>Al-khasrajiah</t>
  </si>
  <si>
    <t>الخسرجيه</t>
  </si>
  <si>
    <t>Al-sultan</t>
  </si>
  <si>
    <t>السلطان</t>
  </si>
  <si>
    <t>Al-khaznah</t>
  </si>
  <si>
    <t>الخزنه</t>
  </si>
  <si>
    <t>Abu sidirah</t>
  </si>
  <si>
    <t>ابو صديره</t>
  </si>
  <si>
    <t>Um alzanabeer</t>
  </si>
  <si>
    <t>ام الزنابير</t>
  </si>
  <si>
    <t>Amgair alabed village</t>
  </si>
  <si>
    <t xml:space="preserve">قرية امغير العبد </t>
  </si>
  <si>
    <t>Hayala</t>
  </si>
  <si>
    <t>حيالي</t>
  </si>
  <si>
    <t>Raqabt alfaras</t>
  </si>
  <si>
    <t>رقبة الفرس</t>
  </si>
  <si>
    <t>Al-naofaly</t>
  </si>
  <si>
    <t>النوفلي</t>
  </si>
  <si>
    <t>Saiad shhadah</t>
  </si>
  <si>
    <t>سيد شحاذه</t>
  </si>
  <si>
    <t>Bawthat algafal</t>
  </si>
  <si>
    <t>بوثة الجفال</t>
  </si>
  <si>
    <t xml:space="preserve"> Al-sahlan</t>
  </si>
  <si>
    <t>السحلان</t>
  </si>
  <si>
    <t>Al-jalodiah</t>
  </si>
  <si>
    <t>الجلوديه</t>
  </si>
  <si>
    <t>Al-sibaiah alsharqiah</t>
  </si>
  <si>
    <t>السيبايه الشرقيه</t>
  </si>
  <si>
    <t>Al-chachan</t>
  </si>
  <si>
    <t>الجاجان</t>
  </si>
  <si>
    <t>ALZaid village</t>
  </si>
  <si>
    <t>قرية الزيد</t>
  </si>
  <si>
    <t>Al-khader</t>
  </si>
  <si>
    <t>Marzogta alkharof</t>
  </si>
  <si>
    <t>مرزوكة الخاروف</t>
  </si>
  <si>
    <t xml:space="preserve">Um kabrah </t>
  </si>
  <si>
    <t>ام كبره</t>
  </si>
  <si>
    <t>Al shaheen</t>
  </si>
  <si>
    <t>الشاهين</t>
  </si>
  <si>
    <t>Al-mutiriah</t>
  </si>
  <si>
    <t>المطيريه</t>
  </si>
  <si>
    <t>Al-muhatah</t>
  </si>
  <si>
    <t>المحطه</t>
  </si>
  <si>
    <t>Al-bawthah</t>
  </si>
  <si>
    <t>البوثه</t>
  </si>
  <si>
    <t>Al aghr village</t>
  </si>
  <si>
    <t xml:space="preserve">قرية الاغر </t>
  </si>
  <si>
    <t>Al usamanah village</t>
  </si>
  <si>
    <t xml:space="preserve">قرية العصماية </t>
  </si>
  <si>
    <t>Wady al-tyinah village</t>
  </si>
  <si>
    <t xml:space="preserve">قرية وادي التينة </t>
  </si>
  <si>
    <t xml:space="preserve">Al-sirt village </t>
  </si>
  <si>
    <t xml:space="preserve">قرية السرت </t>
  </si>
  <si>
    <t>Al tyinah village</t>
  </si>
  <si>
    <t xml:space="preserve">قرية التينة </t>
  </si>
  <si>
    <t xml:space="preserve">Al-Hweij village </t>
  </si>
  <si>
    <t xml:space="preserve">قرية الحويج </t>
  </si>
  <si>
    <t>Qahirah village</t>
  </si>
  <si>
    <t xml:space="preserve">قرية  القاهرة </t>
  </si>
  <si>
    <t>Eajbah village</t>
  </si>
  <si>
    <t xml:space="preserve">قرية عجبة </t>
  </si>
  <si>
    <t>Al-haded village</t>
  </si>
  <si>
    <t>قرية الحديد</t>
  </si>
  <si>
    <t>Tloul alkham village</t>
  </si>
  <si>
    <t xml:space="preserve">قرية تلول الخام </t>
  </si>
  <si>
    <t>Ghazil ALkabir</t>
  </si>
  <si>
    <t>غزيل الكبير</t>
  </si>
  <si>
    <t>Kani Edo</t>
  </si>
  <si>
    <t xml:space="preserve">كاني عيدو      </t>
  </si>
  <si>
    <t>Sabahiya</t>
  </si>
  <si>
    <t>الصباحية</t>
  </si>
  <si>
    <t>Chinan</t>
  </si>
  <si>
    <t>جنعان</t>
  </si>
  <si>
    <t>Der Aas</t>
  </si>
  <si>
    <t>دير عاص</t>
  </si>
  <si>
    <t>Ellmeabdi Al Shemaliya Village</t>
  </si>
  <si>
    <t>العلم مقاطعة 44 المعيبدي الشمالية</t>
  </si>
  <si>
    <t>Habish village</t>
  </si>
  <si>
    <t xml:space="preserve">قرية حبش </t>
  </si>
  <si>
    <t xml:space="preserve">Nabeaa village </t>
  </si>
  <si>
    <t>قرية النبع</t>
  </si>
  <si>
    <t xml:space="preserve">Um Al-Guta village </t>
  </si>
  <si>
    <t>قرية أم القطى</t>
  </si>
  <si>
    <t>During this round of data collection, DTM has identified 4,705,182 returnees (784,197 households), dispersed across 8 governorates, 38 districts and 2,027 locations in Iraq</t>
  </si>
  <si>
    <t>Number of returnee households by Shelter Type</t>
  </si>
  <si>
    <t xml:space="preserve">Number of returnee households by Governorate of Last Displacement </t>
  </si>
  <si>
    <t>Number of returnee households by Period of Former Displacement and Governorate of Return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</si>
</sst>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[$-10409]#,###"/>
    <numFmt numFmtId="165" formatCode="_(* #,##0_);_(* \(#,##0\);_(* &quot;-&quot;??_);_(@_)"/>
  </numFmts>
  <fonts count="28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Gill Sans Nova"/>
      <family val="2"/>
    </font>
    <font>
      <b/>
      <sz val="10"/>
      <color rgb="FFFF0000"/>
      <name val="Calibri"/>
      <family val="2"/>
      <scheme val="minor"/>
    </font>
    <font>
      <sz val="10"/>
      <name val="Calibri"/>
      <family val="2"/>
    </font>
    <font>
      <u/>
      <sz val="10"/>
      <color rgb="FF0070C0"/>
      <name val="Calibri"/>
      <family val="2"/>
      <scheme val="minor"/>
    </font>
    <font>
      <sz val="10"/>
      <color rgb="FF000000"/>
      <name val="Gill Sans Nova"/>
      <family val="2"/>
    </font>
    <font>
      <u/>
      <sz val="10"/>
      <color rgb="FF0563C1"/>
      <name val="Gill Sans Nova"/>
      <family val="2"/>
    </font>
    <font>
      <b/>
      <sz val="16"/>
      <color rgb="FF4682B4"/>
      <name val="Calibri"/>
      <family val="2"/>
      <scheme val="minor"/>
    </font>
    <font>
      <sz val="10"/>
      <color theme="1"/>
      <name val="Gill Sans Nova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8000"/>
        <bgColor rgb="FF008000"/>
      </patternFill>
    </fill>
    <fill>
      <patternFill patternType="solid">
        <fgColor rgb="FF800000"/>
        <bgColor rgb="FF800000"/>
      </patternFill>
    </fill>
    <fill>
      <patternFill patternType="solid">
        <fgColor rgb="FF92D050"/>
        <bgColor rgb="FF800000"/>
      </patternFill>
    </fill>
    <fill>
      <patternFill patternType="solid">
        <fgColor rgb="FF000080"/>
        <bgColor rgb="FF000080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33A0"/>
        <bgColor indexed="64"/>
      </patternFill>
    </fill>
    <fill>
      <patternFill patternType="solid">
        <fgColor rgb="FFFF5050"/>
        <bgColor rgb="FF0000FF"/>
      </patternFill>
    </fill>
    <fill>
      <patternFill patternType="solid">
        <fgColor rgb="FF0000FF"/>
        <bgColor rgb="FF0000FF"/>
      </patternFill>
    </fill>
  </fills>
  <borders count="30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DCDCDC"/>
      </left>
      <right/>
      <top style="thin">
        <color rgb="FFDCDCDC"/>
      </top>
      <bottom style="thin">
        <color rgb="FFD3D3D3"/>
      </bottom>
      <diagonal/>
    </border>
    <border>
      <left/>
      <right style="thin">
        <color rgb="FFDCDCDC"/>
      </right>
      <top style="thin">
        <color rgb="FFDCDCDC"/>
      </top>
      <bottom style="thin">
        <color rgb="FFD3D3D3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theme="0"/>
      </top>
      <bottom style="thin">
        <color rgb="FFD3D3D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</borders>
  <cellStyleXfs count="5">
    <xf numFmtId="0" fontId="0" fillId="0" borderId="0"/>
    <xf numFmtId="0" fontId="3" fillId="6" borderId="0" applyNumberFormat="0" applyBorder="0" applyAlignment="0" applyProtection="0"/>
    <xf numFmtId="43" fontId="5" fillId="0" borderId="0" applyFont="0" applyFill="0" applyBorder="0" applyAlignment="0" applyProtection="0"/>
    <xf numFmtId="0" fontId="2" fillId="6" borderId="0" applyNumberFormat="0" applyBorder="0" applyAlignment="0" applyProtection="0"/>
    <xf numFmtId="0" fontId="17" fillId="0" borderId="0" applyNumberFormat="0" applyFill="0" applyBorder="0" applyAlignment="0" applyProtection="0"/>
  </cellStyleXfs>
  <cellXfs count="136">
    <xf numFmtId="0" fontId="4" fillId="0" borderId="0" xfId="0" applyFont="1" applyFill="1" applyBorder="1"/>
    <xf numFmtId="9" fontId="8" fillId="7" borderId="2" xfId="1" applyNumberFormat="1" applyFont="1" applyFill="1" applyBorder="1" applyAlignment="1">
      <alignment vertical="top" wrapText="1" readingOrder="1"/>
    </xf>
    <xf numFmtId="9" fontId="8" fillId="7" borderId="1" xfId="1" applyNumberFormat="1" applyFont="1" applyFill="1" applyBorder="1" applyAlignment="1">
      <alignment vertical="top" wrapText="1" readingOrder="1"/>
    </xf>
    <xf numFmtId="0" fontId="6" fillId="5" borderId="20" xfId="0" applyFont="1" applyFill="1" applyBorder="1" applyAlignment="1">
      <alignment horizontal="center" vertical="center" wrapText="1" readingOrder="1"/>
    </xf>
    <xf numFmtId="0" fontId="4" fillId="0" borderId="6" xfId="0" applyFont="1" applyFill="1" applyBorder="1"/>
    <xf numFmtId="0" fontId="4" fillId="0" borderId="11" xfId="0" applyFont="1" applyFill="1" applyBorder="1"/>
    <xf numFmtId="0" fontId="4" fillId="0" borderId="8" xfId="0" applyFont="1" applyFill="1" applyBorder="1"/>
    <xf numFmtId="0" fontId="4" fillId="0" borderId="19" xfId="0" applyFont="1" applyFill="1" applyBorder="1" applyAlignment="1">
      <alignment horizontal="left"/>
    </xf>
    <xf numFmtId="0" fontId="4" fillId="0" borderId="19" xfId="0" applyNumberFormat="1" applyFont="1" applyFill="1" applyBorder="1"/>
    <xf numFmtId="9" fontId="4" fillId="0" borderId="19" xfId="0" applyNumberFormat="1" applyFont="1" applyFill="1" applyBorder="1"/>
    <xf numFmtId="0" fontId="6" fillId="5" borderId="6" xfId="0" applyNumberFormat="1" applyFont="1" applyFill="1" applyBorder="1" applyAlignment="1">
      <alignment horizontal="center" vertical="center" wrapText="1" readingOrder="1"/>
    </xf>
    <xf numFmtId="0" fontId="13" fillId="0" borderId="0" xfId="0" applyFont="1" applyFill="1" applyBorder="1"/>
    <xf numFmtId="0" fontId="12" fillId="0" borderId="1" xfId="0" applyNumberFormat="1" applyFont="1" applyFill="1" applyBorder="1" applyAlignment="1">
      <alignment vertical="top" wrapText="1" readingOrder="1"/>
    </xf>
    <xf numFmtId="164" fontId="12" fillId="0" borderId="1" xfId="0" applyNumberFormat="1" applyFont="1" applyFill="1" applyBorder="1" applyAlignment="1">
      <alignment vertical="top" wrapText="1" readingOrder="1"/>
    </xf>
    <xf numFmtId="0" fontId="13" fillId="0" borderId="19" xfId="0" applyFont="1" applyFill="1" applyBorder="1" applyAlignment="1">
      <alignment horizontal="left" vertical="center"/>
    </xf>
    <xf numFmtId="165" fontId="13" fillId="0" borderId="19" xfId="2" applyNumberFormat="1" applyFont="1" applyFill="1" applyBorder="1" applyAlignment="1">
      <alignment horizontal="right"/>
    </xf>
    <xf numFmtId="165" fontId="9" fillId="0" borderId="19" xfId="2" applyNumberFormat="1" applyFont="1" applyFill="1" applyBorder="1"/>
    <xf numFmtId="0" fontId="13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/>
    <xf numFmtId="0" fontId="6" fillId="5" borderId="3" xfId="0" applyNumberFormat="1" applyFont="1" applyFill="1" applyBorder="1" applyAlignment="1">
      <alignment horizontal="center" vertical="top" wrapText="1" readingOrder="1"/>
    </xf>
    <xf numFmtId="0" fontId="6" fillId="5" borderId="2" xfId="0" applyNumberFormat="1" applyFont="1" applyFill="1" applyBorder="1" applyAlignment="1">
      <alignment horizontal="center" vertical="center" wrapText="1" readingOrder="1"/>
    </xf>
    <xf numFmtId="0" fontId="6" fillId="5" borderId="1" xfId="0" applyNumberFormat="1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9" fontId="15" fillId="7" borderId="0" xfId="0" applyNumberFormat="1" applyFont="1" applyFill="1" applyBorder="1"/>
    <xf numFmtId="164" fontId="12" fillId="0" borderId="0" xfId="0" applyNumberFormat="1" applyFont="1" applyFill="1" applyBorder="1" applyAlignment="1">
      <alignment vertical="top" wrapText="1" readingOrder="1"/>
    </xf>
    <xf numFmtId="0" fontId="12" fillId="0" borderId="2" xfId="0" applyNumberFormat="1" applyFont="1" applyFill="1" applyBorder="1" applyAlignment="1">
      <alignment vertical="top" wrapText="1" readingOrder="1"/>
    </xf>
    <xf numFmtId="0" fontId="7" fillId="0" borderId="2" xfId="0" applyNumberFormat="1" applyFont="1" applyFill="1" applyBorder="1" applyAlignment="1">
      <alignment vertical="top" wrapText="1" readingOrder="1"/>
    </xf>
    <xf numFmtId="164" fontId="7" fillId="0" borderId="2" xfId="0" applyNumberFormat="1" applyFont="1" applyFill="1" applyBorder="1" applyAlignment="1">
      <alignment vertical="top" wrapText="1" readingOrder="1"/>
    </xf>
    <xf numFmtId="0" fontId="15" fillId="7" borderId="0" xfId="0" applyFont="1" applyFill="1" applyBorder="1"/>
    <xf numFmtId="164" fontId="7" fillId="0" borderId="0" xfId="0" applyNumberFormat="1" applyFont="1" applyFill="1" applyBorder="1" applyAlignment="1">
      <alignment vertical="top" wrapText="1" readingOrder="1"/>
    </xf>
    <xf numFmtId="0" fontId="16" fillId="0" borderId="0" xfId="0" applyFont="1" applyFill="1" applyBorder="1"/>
    <xf numFmtId="0" fontId="6" fillId="5" borderId="5" xfId="0" applyNumberFormat="1" applyFont="1" applyFill="1" applyBorder="1" applyAlignment="1">
      <alignment horizontal="center" vertical="top" wrapText="1" readingOrder="1"/>
    </xf>
    <xf numFmtId="0" fontId="6" fillId="5" borderId="4" xfId="0" applyNumberFormat="1" applyFont="1" applyFill="1" applyBorder="1" applyAlignment="1">
      <alignment horizontal="center" vertical="center" wrapText="1" readingOrder="1"/>
    </xf>
    <xf numFmtId="164" fontId="12" fillId="0" borderId="2" xfId="0" applyNumberFormat="1" applyFont="1" applyFill="1" applyBorder="1" applyAlignment="1">
      <alignment vertical="top" wrapText="1" readingOrder="1"/>
    </xf>
    <xf numFmtId="0" fontId="7" fillId="0" borderId="1" xfId="0" applyNumberFormat="1" applyFont="1" applyFill="1" applyBorder="1" applyAlignment="1">
      <alignment vertical="top" wrapText="1" readingOrder="1"/>
    </xf>
    <xf numFmtId="164" fontId="7" fillId="0" borderId="1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 readingOrder="1"/>
    </xf>
    <xf numFmtId="16" fontId="6" fillId="5" borderId="6" xfId="0" applyNumberFormat="1" applyFont="1" applyFill="1" applyBorder="1" applyAlignment="1">
      <alignment horizontal="center" vertical="center" wrapText="1" readingOrder="1"/>
    </xf>
    <xf numFmtId="49" fontId="6" fillId="5" borderId="6" xfId="0" applyNumberFormat="1" applyFont="1" applyFill="1" applyBorder="1" applyAlignment="1">
      <alignment horizontal="center" vertical="center" wrapText="1" readingOrder="1"/>
    </xf>
    <xf numFmtId="0" fontId="6" fillId="5" borderId="9" xfId="0" applyNumberFormat="1" applyFont="1" applyFill="1" applyBorder="1" applyAlignment="1">
      <alignment horizontal="center" vertical="center" wrapText="1" readingOrder="1"/>
    </xf>
    <xf numFmtId="49" fontId="12" fillId="0" borderId="18" xfId="0" applyNumberFormat="1" applyFont="1" applyFill="1" applyBorder="1" applyAlignment="1">
      <alignment vertical="top" wrapText="1" readingOrder="1"/>
    </xf>
    <xf numFmtId="49" fontId="12" fillId="0" borderId="12" xfId="0" applyNumberFormat="1" applyFont="1" applyFill="1" applyBorder="1" applyAlignment="1">
      <alignment vertical="top" wrapText="1" readingOrder="1"/>
    </xf>
    <xf numFmtId="49" fontId="12" fillId="0" borderId="12" xfId="0" applyNumberFormat="1" applyFont="1" applyFill="1" applyBorder="1" applyAlignment="1">
      <alignment horizontal="left" vertical="top" wrapText="1" readingOrder="1"/>
    </xf>
    <xf numFmtId="164" fontId="7" fillId="0" borderId="1" xfId="0" applyNumberFormat="1" applyFont="1" applyFill="1" applyBorder="1" applyAlignment="1">
      <alignment horizontal="center" vertical="center" wrapText="1" readingOrder="1"/>
    </xf>
    <xf numFmtId="0" fontId="13" fillId="0" borderId="0" xfId="0" applyFont="1" applyFill="1" applyBorder="1" applyAlignment="1">
      <alignment horizontal="left"/>
    </xf>
    <xf numFmtId="4" fontId="13" fillId="0" borderId="0" xfId="0" applyNumberFormat="1" applyFont="1" applyFill="1" applyBorder="1" applyAlignment="1">
      <alignment horizontal="left"/>
    </xf>
    <xf numFmtId="9" fontId="13" fillId="0" borderId="0" xfId="0" applyNumberFormat="1" applyFont="1" applyFill="1" applyBorder="1" applyAlignment="1">
      <alignment horizontal="center"/>
    </xf>
    <xf numFmtId="0" fontId="10" fillId="8" borderId="9" xfId="0" applyFont="1" applyFill="1" applyBorder="1" applyAlignment="1">
      <alignment horizontal="center"/>
    </xf>
    <xf numFmtId="0" fontId="11" fillId="0" borderId="11" xfId="0" applyFont="1" applyFill="1" applyBorder="1"/>
    <xf numFmtId="0" fontId="11" fillId="0" borderId="6" xfId="0" applyFont="1" applyFill="1" applyBorder="1"/>
    <xf numFmtId="0" fontId="11" fillId="0" borderId="9" xfId="0" applyFont="1" applyFill="1" applyBorder="1"/>
    <xf numFmtId="0" fontId="11" fillId="0" borderId="19" xfId="0" applyFont="1" applyFill="1" applyBorder="1" applyAlignment="1">
      <alignment horizontal="right"/>
    </xf>
    <xf numFmtId="0" fontId="11" fillId="0" borderId="8" xfId="0" applyFont="1" applyFill="1" applyBorder="1"/>
    <xf numFmtId="0" fontId="11" fillId="0" borderId="7" xfId="0" applyFont="1" applyFill="1" applyBorder="1"/>
    <xf numFmtId="0" fontId="10" fillId="8" borderId="19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left" vertical="center"/>
    </xf>
    <xf numFmtId="2" fontId="11" fillId="0" borderId="6" xfId="0" applyNumberFormat="1" applyFont="1" applyFill="1" applyBorder="1"/>
    <xf numFmtId="0" fontId="11" fillId="0" borderId="6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right"/>
    </xf>
    <xf numFmtId="0" fontId="1" fillId="0" borderId="6" xfId="0" applyFont="1" applyFill="1" applyBorder="1"/>
    <xf numFmtId="0" fontId="11" fillId="0" borderId="6" xfId="0" applyFont="1" applyBorder="1" applyAlignment="1">
      <alignment horizontal="left"/>
    </xf>
    <xf numFmtId="0" fontId="11" fillId="0" borderId="19" xfId="0" applyFont="1" applyFill="1" applyBorder="1"/>
    <xf numFmtId="3" fontId="11" fillId="0" borderId="19" xfId="0" applyNumberFormat="1" applyFont="1" applyFill="1" applyBorder="1"/>
    <xf numFmtId="0" fontId="11" fillId="0" borderId="19" xfId="0" applyFont="1" applyFill="1" applyBorder="1" applyAlignment="1">
      <alignment horizontal="left"/>
    </xf>
    <xf numFmtId="0" fontId="10" fillId="0" borderId="19" xfId="0" applyFont="1" applyFill="1" applyBorder="1"/>
    <xf numFmtId="2" fontId="10" fillId="0" borderId="19" xfId="0" applyNumberFormat="1" applyFont="1" applyFill="1" applyBorder="1" applyAlignment="1">
      <alignment horizontal="right"/>
    </xf>
    <xf numFmtId="0" fontId="10" fillId="0" borderId="19" xfId="0" applyFont="1" applyFill="1" applyBorder="1" applyAlignment="1">
      <alignment horizontal="right"/>
    </xf>
    <xf numFmtId="0" fontId="4" fillId="0" borderId="19" xfId="0" pivotButton="1" applyFont="1" applyFill="1" applyBorder="1"/>
    <xf numFmtId="0" fontId="4" fillId="0" borderId="19" xfId="0" applyFont="1" applyFill="1" applyBorder="1"/>
    <xf numFmtId="0" fontId="4" fillId="0" borderId="21" xfId="0" applyFont="1" applyFill="1" applyBorder="1"/>
    <xf numFmtId="0" fontId="4" fillId="0" borderId="22" xfId="0" applyFont="1" applyFill="1" applyBorder="1" applyAlignment="1">
      <alignment horizontal="left"/>
    </xf>
    <xf numFmtId="0" fontId="4" fillId="0" borderId="22" xfId="0" applyNumberFormat="1" applyFont="1" applyFill="1" applyBorder="1"/>
    <xf numFmtId="9" fontId="4" fillId="0" borderId="22" xfId="0" applyNumberFormat="1" applyFont="1" applyFill="1" applyBorder="1"/>
    <xf numFmtId="0" fontId="18" fillId="0" borderId="6" xfId="0" applyFont="1" applyBorder="1"/>
    <xf numFmtId="0" fontId="9" fillId="0" borderId="0" xfId="0" applyFont="1" applyBorder="1" applyAlignment="1">
      <alignment horizontal="left" vertical="center"/>
    </xf>
    <xf numFmtId="164" fontId="7" fillId="0" borderId="0" xfId="0" applyNumberFormat="1" applyFont="1" applyFill="1" applyBorder="1" applyAlignment="1">
      <alignment horizontal="center" vertical="center" wrapText="1" readingOrder="1"/>
    </xf>
    <xf numFmtId="9" fontId="8" fillId="7" borderId="0" xfId="1" applyNumberFormat="1" applyFont="1" applyFill="1" applyBorder="1" applyAlignment="1">
      <alignment horizontal="center" vertical="center" wrapText="1" readingOrder="1"/>
    </xf>
    <xf numFmtId="0" fontId="16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164" fontId="19" fillId="0" borderId="0" xfId="0" applyNumberFormat="1" applyFont="1" applyFill="1" applyBorder="1" applyAlignment="1">
      <alignment horizontal="center" vertical="center" wrapText="1" readingOrder="1"/>
    </xf>
    <xf numFmtId="9" fontId="16" fillId="7" borderId="0" xfId="1" applyNumberFormat="1" applyFont="1" applyFill="1" applyBorder="1" applyAlignment="1">
      <alignment horizontal="center" vertical="center" wrapText="1" readingOrder="1"/>
    </xf>
    <xf numFmtId="0" fontId="9" fillId="0" borderId="19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20" fillId="0" borderId="0" xfId="0" applyFont="1" applyFill="1" applyBorder="1"/>
    <xf numFmtId="0" fontId="6" fillId="5" borderId="7" xfId="0" applyNumberFormat="1" applyFont="1" applyFill="1" applyBorder="1" applyAlignment="1">
      <alignment horizontal="center" vertical="center" wrapText="1" readingOrder="1"/>
    </xf>
    <xf numFmtId="0" fontId="6" fillId="5" borderId="23" xfId="0" applyNumberFormat="1" applyFont="1" applyFill="1" applyBorder="1" applyAlignment="1">
      <alignment horizontal="center" vertical="center" readingOrder="1"/>
    </xf>
    <xf numFmtId="0" fontId="6" fillId="2" borderId="7" xfId="0" applyNumberFormat="1" applyFont="1" applyFill="1" applyBorder="1" applyAlignment="1">
      <alignment horizontal="center" vertical="center" wrapText="1" readingOrder="1"/>
    </xf>
    <xf numFmtId="0" fontId="6" fillId="3" borderId="7" xfId="0" applyNumberFormat="1" applyFont="1" applyFill="1" applyBorder="1" applyAlignment="1">
      <alignment horizontal="center" vertical="center" wrapText="1" readingOrder="1"/>
    </xf>
    <xf numFmtId="49" fontId="6" fillId="3" borderId="7" xfId="0" applyNumberFormat="1" applyFont="1" applyFill="1" applyBorder="1" applyAlignment="1">
      <alignment horizontal="center" vertical="center" wrapText="1" readingOrder="1"/>
    </xf>
    <xf numFmtId="0" fontId="6" fillId="4" borderId="7" xfId="0" applyNumberFormat="1" applyFont="1" applyFill="1" applyBorder="1" applyAlignment="1">
      <alignment horizontal="center" vertical="center" wrapText="1" readingOrder="1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vertical="center"/>
    </xf>
    <xf numFmtId="0" fontId="23" fillId="0" borderId="6" xfId="4" applyFont="1" applyBorder="1" applyAlignment="1">
      <alignment horizontal="center"/>
    </xf>
    <xf numFmtId="0" fontId="14" fillId="5" borderId="19" xfId="0" applyFont="1" applyFill="1" applyBorder="1" applyAlignment="1">
      <alignment horizontal="center" vertical="top" wrapText="1" readingOrder="1"/>
    </xf>
    <xf numFmtId="0" fontId="22" fillId="0" borderId="6" xfId="0" applyFont="1" applyBorder="1" applyAlignment="1">
      <alignment vertical="center" wrapText="1"/>
    </xf>
    <xf numFmtId="0" fontId="22" fillId="0" borderId="6" xfId="0" applyFont="1" applyBorder="1" applyAlignment="1"/>
    <xf numFmtId="0" fontId="23" fillId="0" borderId="6" xfId="4" applyFont="1" applyBorder="1" applyAlignment="1"/>
    <xf numFmtId="0" fontId="22" fillId="0" borderId="6" xfId="0" applyFont="1" applyBorder="1"/>
    <xf numFmtId="0" fontId="20" fillId="0" borderId="1" xfId="0" applyFont="1" applyFill="1" applyBorder="1" applyAlignment="1">
      <alignment horizontal="center"/>
    </xf>
    <xf numFmtId="0" fontId="20" fillId="0" borderId="1" xfId="0" applyFont="1" applyFill="1" applyBorder="1"/>
    <xf numFmtId="164" fontId="21" fillId="0" borderId="1" xfId="0" applyNumberFormat="1" applyFont="1" applyBorder="1" applyAlignment="1">
      <alignment horizontal="center" vertical="top" wrapText="1" readingOrder="1"/>
    </xf>
    <xf numFmtId="49" fontId="12" fillId="0" borderId="0" xfId="0" applyNumberFormat="1" applyFont="1" applyFill="1" applyBorder="1" applyAlignment="1">
      <alignment horizontal="left" vertical="top" wrapText="1" readingOrder="1"/>
    </xf>
    <xf numFmtId="9" fontId="26" fillId="7" borderId="1" xfId="1" applyNumberFormat="1" applyFont="1" applyFill="1" applyBorder="1" applyAlignment="1">
      <alignment horizontal="center" vertical="center" wrapText="1" readingOrder="1"/>
    </xf>
    <xf numFmtId="0" fontId="22" fillId="0" borderId="6" xfId="0" applyFont="1" applyBorder="1" applyAlignment="1">
      <alignment horizontal="center" vertical="center" wrapText="1"/>
    </xf>
    <xf numFmtId="0" fontId="6" fillId="9" borderId="19" xfId="0" applyFont="1" applyFill="1" applyBorder="1" applyAlignment="1">
      <alignment horizontal="center" vertical="center" wrapText="1" readingOrder="1"/>
    </xf>
    <xf numFmtId="0" fontId="6" fillId="10" borderId="19" xfId="0" applyFont="1" applyFill="1" applyBorder="1" applyAlignment="1">
      <alignment horizontal="center" vertical="center" wrapText="1" readingOrder="1"/>
    </xf>
    <xf numFmtId="0" fontId="6" fillId="5" borderId="1" xfId="0" applyNumberFormat="1" applyFont="1" applyFill="1" applyBorder="1" applyAlignment="1">
      <alignment horizontal="center" vertical="center" readingOrder="1"/>
    </xf>
    <xf numFmtId="0" fontId="25" fillId="0" borderId="6" xfId="0" applyFont="1" applyBorder="1" applyAlignment="1">
      <alignment horizontal="center"/>
    </xf>
    <xf numFmtId="0" fontId="22" fillId="0" borderId="6" xfId="0" applyFont="1" applyBorder="1" applyAlignment="1">
      <alignment horizontal="center" vertical="center" wrapText="1"/>
    </xf>
    <xf numFmtId="0" fontId="6" fillId="5" borderId="13" xfId="0" applyNumberFormat="1" applyFont="1" applyFill="1" applyBorder="1" applyAlignment="1">
      <alignment horizontal="center" vertical="top" wrapText="1" readingOrder="1"/>
    </xf>
    <xf numFmtId="0" fontId="6" fillId="5" borderId="14" xfId="0" applyNumberFormat="1" applyFont="1" applyFill="1" applyBorder="1" applyAlignment="1">
      <alignment horizontal="center" vertical="top" wrapText="1" readingOrder="1"/>
    </xf>
    <xf numFmtId="0" fontId="6" fillId="5" borderId="9" xfId="0" applyNumberFormat="1" applyFont="1" applyFill="1" applyBorder="1" applyAlignment="1">
      <alignment horizontal="center" vertical="top" wrapText="1" readingOrder="1"/>
    </xf>
    <xf numFmtId="0" fontId="6" fillId="5" borderId="10" xfId="0" applyNumberFormat="1" applyFont="1" applyFill="1" applyBorder="1" applyAlignment="1">
      <alignment horizontal="center" vertical="top" wrapText="1" readingOrder="1"/>
    </xf>
    <xf numFmtId="0" fontId="6" fillId="5" borderId="11" xfId="0" applyNumberFormat="1" applyFont="1" applyFill="1" applyBorder="1" applyAlignment="1">
      <alignment horizontal="center" vertical="top" wrapText="1" readingOrder="1"/>
    </xf>
    <xf numFmtId="164" fontId="7" fillId="0" borderId="19" xfId="0" applyNumberFormat="1" applyFont="1" applyBorder="1" applyAlignment="1">
      <alignment horizontal="center" vertical="center" wrapText="1" readingOrder="1"/>
    </xf>
    <xf numFmtId="0" fontId="6" fillId="5" borderId="12" xfId="0" applyNumberFormat="1" applyFont="1" applyFill="1" applyBorder="1" applyAlignment="1">
      <alignment horizontal="center" vertical="top" wrapText="1" readingOrder="1"/>
    </xf>
    <xf numFmtId="0" fontId="6" fillId="5" borderId="17" xfId="0" applyNumberFormat="1" applyFont="1" applyFill="1" applyBorder="1" applyAlignment="1">
      <alignment horizontal="center" vertical="top" wrapText="1" readingOrder="1"/>
    </xf>
    <xf numFmtId="0" fontId="13" fillId="0" borderId="24" xfId="0" applyFont="1" applyFill="1" applyBorder="1" applyAlignment="1">
      <alignment horizontal="left" vertical="center"/>
    </xf>
    <xf numFmtId="0" fontId="13" fillId="0" borderId="25" xfId="0" applyFont="1" applyFill="1" applyBorder="1" applyAlignment="1">
      <alignment horizontal="left" vertical="center"/>
    </xf>
    <xf numFmtId="0" fontId="13" fillId="0" borderId="26" xfId="0" applyFont="1" applyFill="1" applyBorder="1" applyAlignment="1">
      <alignment horizontal="left" vertical="center"/>
    </xf>
    <xf numFmtId="0" fontId="6" fillId="5" borderId="15" xfId="0" applyNumberFormat="1" applyFont="1" applyFill="1" applyBorder="1" applyAlignment="1">
      <alignment horizontal="center" vertical="top" wrapText="1" readingOrder="1"/>
    </xf>
    <xf numFmtId="0" fontId="6" fillId="5" borderId="16" xfId="0" applyNumberFormat="1" applyFont="1" applyFill="1" applyBorder="1" applyAlignment="1">
      <alignment horizontal="center" vertical="top" wrapText="1" readingOrder="1"/>
    </xf>
    <xf numFmtId="0" fontId="24" fillId="0" borderId="0" xfId="0" applyNumberFormat="1" applyFont="1" applyFill="1" applyBorder="1" applyAlignment="1">
      <alignment horizontal="left" vertical="center" wrapText="1" readingOrder="1"/>
    </xf>
    <xf numFmtId="0" fontId="6" fillId="5" borderId="6" xfId="0" applyNumberFormat="1" applyFont="1" applyFill="1" applyBorder="1" applyAlignment="1">
      <alignment horizontal="center" vertical="top" wrapText="1" readingOrder="1"/>
    </xf>
    <xf numFmtId="0" fontId="6" fillId="5" borderId="27" xfId="0" applyFont="1" applyFill="1" applyBorder="1" applyAlignment="1">
      <alignment horizontal="center" vertical="center" wrapText="1" readingOrder="1"/>
    </xf>
    <xf numFmtId="0" fontId="6" fillId="5" borderId="28" xfId="0" applyFont="1" applyFill="1" applyBorder="1" applyAlignment="1">
      <alignment horizontal="center" vertical="center" wrapText="1" readingOrder="1"/>
    </xf>
    <xf numFmtId="0" fontId="6" fillId="4" borderId="9" xfId="0" applyNumberFormat="1" applyFont="1" applyFill="1" applyBorder="1" applyAlignment="1">
      <alignment horizontal="center" vertical="center" wrapText="1" readingOrder="1"/>
    </xf>
    <xf numFmtId="0" fontId="6" fillId="3" borderId="9" xfId="0" applyNumberFormat="1" applyFont="1" applyFill="1" applyBorder="1" applyAlignment="1">
      <alignment horizontal="center" vertical="center" wrapText="1" readingOrder="1"/>
    </xf>
    <xf numFmtId="0" fontId="6" fillId="2" borderId="9" xfId="0" applyNumberFormat="1" applyFont="1" applyFill="1" applyBorder="1" applyAlignment="1">
      <alignment horizontal="center" vertical="center" wrapText="1" readingOrder="1"/>
    </xf>
    <xf numFmtId="0" fontId="6" fillId="10" borderId="27" xfId="0" applyFont="1" applyFill="1" applyBorder="1" applyAlignment="1">
      <alignment horizontal="center" vertical="center" wrapText="1" readingOrder="1"/>
    </xf>
    <xf numFmtId="0" fontId="6" fillId="10" borderId="29" xfId="0" applyFont="1" applyFill="1" applyBorder="1" applyAlignment="1">
      <alignment horizontal="center" vertical="center" wrapText="1" readingOrder="1"/>
    </xf>
    <xf numFmtId="0" fontId="6" fillId="10" borderId="28" xfId="0" applyFont="1" applyFill="1" applyBorder="1" applyAlignment="1">
      <alignment horizontal="center" vertical="center" wrapText="1" readingOrder="1"/>
    </xf>
  </cellXfs>
  <cellStyles count="5">
    <cellStyle name="60% - Accent1" xfId="1" builtinId="32"/>
    <cellStyle name="60% - Accent1 2" xfId="3" xr:uid="{00000000-0005-0000-0000-000001000000}"/>
    <cellStyle name="Comma" xfId="2" builtinId="3"/>
    <cellStyle name="Hyperlink" xfId="4" builtinId="8"/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 style="thin">
          <color theme="0" tint="-0.14993743705557422"/>
        </vertical>
      </border>
    </dxf>
    <dxf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 style="thin">
          <color theme="0" tint="-0.14993743705557422"/>
        </vertical>
      </border>
    </dxf>
    <dxf>
      <fill>
        <patternFill>
          <bgColor auto="1"/>
        </patternFill>
      </fill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numFmt numFmtId="13" formatCode="0%"/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2"/>
      <tableStyleElement type="headerRow" dxfId="1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D3D3D3"/>
      <rgbColor rgb="00696969"/>
      <rgbColor rgb="00008000"/>
      <rgbColor rgb="00FFFFFF"/>
      <rgbColor rgb="000000FF"/>
      <rgbColor rgb="00800000"/>
      <rgbColor rgb="004169E1"/>
      <rgbColor rgb="00DCDCDC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80"/>
      <color rgb="FF4472C4"/>
      <color rgb="FF0563C1"/>
      <color rgb="FFC9FFCC"/>
      <color rgb="FF9CC2E5"/>
      <color rgb="FF0281AE"/>
      <color rgb="FFAFECE7"/>
      <color rgb="FF7A9CC6"/>
      <color rgb="FF81726A"/>
      <color rgb="FF4071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[20205114622526_Round115_Master_List_Returnee_2020_04_29_IOM_DTM.xlsx]Period Of Displacement!PivotTable3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68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 of Returnees by Period of Displacement </a:t>
            </a:r>
          </a:p>
        </c:rich>
      </c:tx>
      <c:layout>
        <c:manualLayout>
          <c:xMode val="edge"/>
          <c:yMode val="edge"/>
          <c:x val="0.32927921904117607"/>
          <c:y val="1.4491108481351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68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rgbClr val="0033A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33A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bg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rgbClr val="404040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008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1"/>
          <c:tx>
            <c:strRef>
              <c:f>'Period Of Displacement'!$C$1</c:f>
              <c:strCache>
                <c:ptCount val="1"/>
                <c:pt idx="0">
                  <c:v>Sum of %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Displacement'!$A$2:$A$11</c:f>
              <c:strCache>
                <c:ptCount val="10"/>
                <c:pt idx="0">
                  <c:v>Pre-June14</c:v>
                </c:pt>
                <c:pt idx="1">
                  <c:v>June-July14</c:v>
                </c:pt>
                <c:pt idx="2">
                  <c:v>August14</c:v>
                </c:pt>
                <c:pt idx="3">
                  <c:v>Post September14</c:v>
                </c:pt>
                <c:pt idx="4">
                  <c:v>Post April15</c:v>
                </c:pt>
                <c:pt idx="5">
                  <c:v>Post March 2016</c:v>
                </c:pt>
                <c:pt idx="6">
                  <c:v>Post 17October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</c:strCache>
            </c:strRef>
          </c:cat>
          <c:val>
            <c:numRef>
              <c:f>'Period Of Displacement'!$C$2:$C$11</c:f>
              <c:numCache>
                <c:formatCode>0%</c:formatCode>
                <c:ptCount val="10"/>
                <c:pt idx="0">
                  <c:v>0.10643626537719476</c:v>
                </c:pt>
                <c:pt idx="1">
                  <c:v>0.15458998185404943</c:v>
                </c:pt>
                <c:pt idx="2">
                  <c:v>0.17642633164880764</c:v>
                </c:pt>
                <c:pt idx="3">
                  <c:v>0.11751893975620922</c:v>
                </c:pt>
                <c:pt idx="4">
                  <c:v>8.9101335506256721E-2</c:v>
                </c:pt>
                <c:pt idx="5">
                  <c:v>6.6433561974860902E-2</c:v>
                </c:pt>
                <c:pt idx="6">
                  <c:v>0.20918723228984554</c:v>
                </c:pt>
                <c:pt idx="7">
                  <c:v>7.9919969089399731E-2</c:v>
                </c:pt>
                <c:pt idx="8">
                  <c:v>3.8638250337606495E-4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FFA-4F1A-8A2E-4785DA612AA2}"/>
            </c:ext>
          </c:extLst>
        </c:ser>
        <c:ser>
          <c:idx val="1"/>
          <c:order val="0"/>
          <c:tx>
            <c:strRef>
              <c:f>'Period Of Displacement'!$B$1</c:f>
              <c:strCache>
                <c:ptCount val="1"/>
                <c:pt idx="0">
                  <c:v>Sum of Returnees Individuals </c:v>
                </c:pt>
              </c:strCache>
            </c:strRef>
          </c:tx>
          <c:spPr>
            <a:solidFill>
              <a:srgbClr val="000080"/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Displacement'!$A$2:$A$11</c:f>
              <c:strCache>
                <c:ptCount val="10"/>
                <c:pt idx="0">
                  <c:v>Pre-June14</c:v>
                </c:pt>
                <c:pt idx="1">
                  <c:v>June-July14</c:v>
                </c:pt>
                <c:pt idx="2">
                  <c:v>August14</c:v>
                </c:pt>
                <c:pt idx="3">
                  <c:v>Post September14</c:v>
                </c:pt>
                <c:pt idx="4">
                  <c:v>Post April15</c:v>
                </c:pt>
                <c:pt idx="5">
                  <c:v>Post March 2016</c:v>
                </c:pt>
                <c:pt idx="6">
                  <c:v>Post 17October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</c:strCache>
            </c:strRef>
          </c:cat>
          <c:val>
            <c:numRef>
              <c:f>'Period Of Displacement'!$B$2:$B$11</c:f>
              <c:numCache>
                <c:formatCode>General</c:formatCode>
                <c:ptCount val="10"/>
                <c:pt idx="0">
                  <c:v>500802</c:v>
                </c:pt>
                <c:pt idx="1">
                  <c:v>727374</c:v>
                </c:pt>
                <c:pt idx="2">
                  <c:v>830118</c:v>
                </c:pt>
                <c:pt idx="3">
                  <c:v>552948</c:v>
                </c:pt>
                <c:pt idx="4">
                  <c:v>419238</c:v>
                </c:pt>
                <c:pt idx="5">
                  <c:v>312582</c:v>
                </c:pt>
                <c:pt idx="6">
                  <c:v>984264</c:v>
                </c:pt>
                <c:pt idx="7">
                  <c:v>376038</c:v>
                </c:pt>
                <c:pt idx="8">
                  <c:v>1818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01-4F23-90EF-408E48E0E923}"/>
            </c:ext>
          </c:extLst>
        </c:ser>
        <c:ser>
          <c:idx val="2"/>
          <c:order val="2"/>
          <c:tx>
            <c:strRef>
              <c:f>'Period Of Displacement'!$D$1</c:f>
              <c:strCache>
                <c:ptCount val="1"/>
                <c:pt idx="0">
                  <c:v>Sum of rank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4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Displacement'!$A$2:$A$11</c:f>
              <c:strCache>
                <c:ptCount val="10"/>
                <c:pt idx="0">
                  <c:v>Pre-June14</c:v>
                </c:pt>
                <c:pt idx="1">
                  <c:v>June-July14</c:v>
                </c:pt>
                <c:pt idx="2">
                  <c:v>August14</c:v>
                </c:pt>
                <c:pt idx="3">
                  <c:v>Post September14</c:v>
                </c:pt>
                <c:pt idx="4">
                  <c:v>Post April15</c:v>
                </c:pt>
                <c:pt idx="5">
                  <c:v>Post March 2016</c:v>
                </c:pt>
                <c:pt idx="6">
                  <c:v>Post 17October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</c:strCache>
            </c:strRef>
          </c:cat>
          <c:val>
            <c:numRef>
              <c:f>'Period Of Displacement'!$D$2:$D$11</c:f>
              <c:numCache>
                <c:formatCode>General</c:formatCode>
                <c:ptCount val="10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6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A3-4B4D-8999-2F0C083CC4B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565655359"/>
        <c:axId val="277144959"/>
        <c:extLst/>
      </c:barChart>
      <c:catAx>
        <c:axId val="565655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cap="all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7144959"/>
        <c:crosses val="autoZero"/>
        <c:auto val="1"/>
        <c:lblAlgn val="ctr"/>
        <c:lblOffset val="100"/>
        <c:noMultiLvlLbl val="0"/>
      </c:catAx>
      <c:valAx>
        <c:axId val="277144959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565655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lang="en-US" sz="1400" b="0" i="0" u="none" strike="noStrike" kern="1200" baseline="0"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Shelter Type by Governorate of Return</a:t>
            </a:r>
          </a:p>
        </c:rich>
      </c:tx>
      <c:layout>
        <c:manualLayout>
          <c:xMode val="edge"/>
          <c:yMode val="edge"/>
          <c:x val="0.38860877454357723"/>
          <c:y val="4.293363004764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'Shelter Type by Gov of Return'!$B$26</c:f>
              <c:strCache>
                <c:ptCount val="1"/>
                <c:pt idx="0">
                  <c:v>Habitual Residence (Habitable)</c:v>
                </c:pt>
              </c:strCache>
            </c:strRef>
          </c:tx>
          <c:spPr>
            <a:solidFill>
              <a:srgbClr val="000080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Anbar</c:v>
                </c:pt>
                <c:pt idx="1">
                  <c:v>Baghdad</c:v>
                </c:pt>
                <c:pt idx="2">
                  <c:v>Dahuk</c:v>
                </c:pt>
                <c:pt idx="3">
                  <c:v>Diyala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Return'!$B$27:$B$34</c:f>
              <c:numCache>
                <c:formatCode>General</c:formatCode>
                <c:ptCount val="8"/>
                <c:pt idx="0">
                  <c:v>238105</c:v>
                </c:pt>
                <c:pt idx="1">
                  <c:v>13889</c:v>
                </c:pt>
                <c:pt idx="2">
                  <c:v>128</c:v>
                </c:pt>
                <c:pt idx="3">
                  <c:v>34125</c:v>
                </c:pt>
                <c:pt idx="4">
                  <c:v>8783</c:v>
                </c:pt>
                <c:pt idx="5">
                  <c:v>55894</c:v>
                </c:pt>
                <c:pt idx="6">
                  <c:v>289676</c:v>
                </c:pt>
                <c:pt idx="7">
                  <c:v>103326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B6-4456-BDF6-047B6406C431}"/>
            </c:ext>
          </c:extLst>
        </c:ser>
        <c:ser>
          <c:idx val="1"/>
          <c:order val="1"/>
          <c:tx>
            <c:strRef>
              <c:f>'Shelter Type by Gov of Return'!$C$26</c:f>
              <c:strCache>
                <c:ptCount val="1"/>
                <c:pt idx="0">
                  <c:v>Habitual Residence (Uninhabitable)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Anbar</c:v>
                </c:pt>
                <c:pt idx="1">
                  <c:v>Baghdad</c:v>
                </c:pt>
                <c:pt idx="2">
                  <c:v>Dahuk</c:v>
                </c:pt>
                <c:pt idx="3">
                  <c:v>Diyala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Return'!$C$27:$C$34</c:f>
              <c:numCache>
                <c:formatCode>General</c:formatCode>
                <c:ptCount val="8"/>
                <c:pt idx="0">
                  <c:v>6350</c:v>
                </c:pt>
                <c:pt idx="1">
                  <c:v>1044</c:v>
                </c:pt>
                <c:pt idx="2">
                  <c:v>0</c:v>
                </c:pt>
                <c:pt idx="3">
                  <c:v>3802</c:v>
                </c:pt>
                <c:pt idx="4">
                  <c:v>0</c:v>
                </c:pt>
                <c:pt idx="5">
                  <c:v>767</c:v>
                </c:pt>
                <c:pt idx="6">
                  <c:v>8829</c:v>
                </c:pt>
                <c:pt idx="7">
                  <c:v>5490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B6-4456-BDF6-047B6406C431}"/>
            </c:ext>
          </c:extLst>
        </c:ser>
        <c:ser>
          <c:idx val="2"/>
          <c:order val="2"/>
          <c:tx>
            <c:strRef>
              <c:f>'Shelter Type by Gov of Return'!$D$26</c:f>
              <c:strCache>
                <c:ptCount val="1"/>
                <c:pt idx="0">
                  <c:v>Rented Houses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Anbar</c:v>
                </c:pt>
                <c:pt idx="1">
                  <c:v>Baghdad</c:v>
                </c:pt>
                <c:pt idx="2">
                  <c:v>Dahuk</c:v>
                </c:pt>
                <c:pt idx="3">
                  <c:v>Diyala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Return'!$D$27:$D$34</c:f>
              <c:numCache>
                <c:formatCode>General</c:formatCode>
                <c:ptCount val="8"/>
                <c:pt idx="0">
                  <c:v>5560</c:v>
                </c:pt>
                <c:pt idx="1">
                  <c:v>52</c:v>
                </c:pt>
                <c:pt idx="2">
                  <c:v>0</c:v>
                </c:pt>
                <c:pt idx="3">
                  <c:v>413</c:v>
                </c:pt>
                <c:pt idx="4">
                  <c:v>30</c:v>
                </c:pt>
                <c:pt idx="5">
                  <c:v>65</c:v>
                </c:pt>
                <c:pt idx="6">
                  <c:v>371</c:v>
                </c:pt>
                <c:pt idx="7">
                  <c:v>3701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B6-4456-BDF6-047B6406C431}"/>
            </c:ext>
          </c:extLst>
        </c:ser>
        <c:ser>
          <c:idx val="3"/>
          <c:order val="3"/>
          <c:tx>
            <c:strRef>
              <c:f>'Shelter Type by Gov of Return'!$E$26</c:f>
              <c:strCache>
                <c:ptCount val="1"/>
                <c:pt idx="0">
                  <c:v>Others</c:v>
                </c:pt>
              </c:strCache>
            </c:strRef>
          </c:tx>
          <c:spPr>
            <a:solidFill>
              <a:srgbClr val="264478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Anbar</c:v>
                </c:pt>
                <c:pt idx="1">
                  <c:v>Baghdad</c:v>
                </c:pt>
                <c:pt idx="2">
                  <c:v>Dahuk</c:v>
                </c:pt>
                <c:pt idx="3">
                  <c:v>Diyala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Return'!$E$27:$E$34</c:f>
              <c:numCache>
                <c:formatCode>General</c:formatCode>
                <c:ptCount val="8"/>
                <c:pt idx="0">
                  <c:v>300</c:v>
                </c:pt>
                <c:pt idx="1">
                  <c:v>53</c:v>
                </c:pt>
                <c:pt idx="2">
                  <c:v>0</c:v>
                </c:pt>
                <c:pt idx="3">
                  <c:v>29</c:v>
                </c:pt>
                <c:pt idx="4">
                  <c:v>0</c:v>
                </c:pt>
                <c:pt idx="5">
                  <c:v>50</c:v>
                </c:pt>
                <c:pt idx="6">
                  <c:v>1062</c:v>
                </c:pt>
                <c:pt idx="7">
                  <c:v>2303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B6-4456-BDF6-047B6406C43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92904992"/>
        <c:axId val="391313728"/>
      </c:barChart>
      <c:catAx>
        <c:axId val="39290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313728"/>
        <c:crosses val="autoZero"/>
        <c:auto val="1"/>
        <c:lblAlgn val="ctr"/>
        <c:lblOffset val="100"/>
        <c:noMultiLvlLbl val="0"/>
      </c:catAx>
      <c:valAx>
        <c:axId val="391313728"/>
        <c:scaling>
          <c:orientation val="minMax"/>
        </c:scaling>
        <c:delete val="1"/>
        <c:axPos val="l"/>
        <c:numFmt formatCode="#,##0" sourceLinked="0"/>
        <c:majorTickMark val="none"/>
        <c:minorTickMark val="none"/>
        <c:tickLblPos val="nextTo"/>
        <c:crossAx val="39290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sz="1600">
          <a:latin typeface="+mn-lt"/>
        </a:defRPr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0" i="0" u="none" strike="noStrike" kern="1200" cap="all" spc="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IDP Shelter Types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0" i="0" u="none" strike="noStrike" kern="1200" cap="all" spc="0" normalizeH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'Shelter Type by Gov of Return'!$C$85</c:f>
              <c:strCache>
                <c:ptCount val="1"/>
                <c:pt idx="0">
                  <c:v>Families</c:v>
                </c:pt>
              </c:strCache>
            </c:strRef>
          </c:tx>
          <c:spPr>
            <a:solidFill>
              <a:schemeClr val="lt1"/>
            </a:solidFill>
            <a:ln w="19050">
              <a:solidFill>
                <a:schemeClr val="accent1"/>
              </a:solidFill>
            </a:ln>
            <a:effectLst/>
          </c:spPr>
          <c:explosion val="4"/>
          <c:dPt>
            <c:idx val="0"/>
            <c:bubble3D val="0"/>
            <c:spPr>
              <a:solidFill>
                <a:srgbClr val="000080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D6C8-41D9-ABB9-8F03B965373B}"/>
              </c:ext>
            </c:extLst>
          </c:dPt>
          <c:dPt>
            <c:idx val="1"/>
            <c:bubble3D val="0"/>
            <c:spPr>
              <a:solidFill>
                <a:srgbClr val="D22630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6C8-41D9-ABB9-8F03B965373B}"/>
              </c:ext>
            </c:extLst>
          </c:dPt>
          <c:dPt>
            <c:idx val="2"/>
            <c:bubble3D val="0"/>
            <c:spPr>
              <a:solidFill>
                <a:srgbClr val="C5E5E3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6C8-41D9-ABB9-8F03B965373B}"/>
              </c:ext>
            </c:extLst>
          </c:dPt>
          <c:dPt>
            <c:idx val="3"/>
            <c:bubble3D val="0"/>
            <c:spPr>
              <a:solidFill>
                <a:schemeClr val="lt1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D6C8-41D9-ABB9-8F03B965373B}"/>
              </c:ext>
            </c:extLst>
          </c:dPt>
          <c:dLbls>
            <c:dLbl>
              <c:idx val="0"/>
              <c:layout>
                <c:manualLayout>
                  <c:x val="-4.3835409034139572E-2"/>
                  <c:y val="-3.654970760233917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41994700172454"/>
                      <c:h val="0.1277412280701754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D6C8-41D9-ABB9-8F03B965373B}"/>
                </c:ext>
              </c:extLst>
            </c:dLbl>
            <c:dLbl>
              <c:idx val="1"/>
              <c:layout>
                <c:manualLayout>
                  <c:x val="-1.8670194469135738E-2"/>
                  <c:y val="4.568713450292364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49168055322626"/>
                      <c:h val="0.1424524853801169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D6C8-41D9-ABB9-8F03B965373B}"/>
                </c:ext>
              </c:extLst>
            </c:dLbl>
            <c:dLbl>
              <c:idx val="2"/>
              <c:layout>
                <c:manualLayout>
                  <c:x val="3.9485876327071186E-2"/>
                  <c:y val="1.8274853801169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804449619797806"/>
                      <c:h val="0.1662097953216374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D6C8-41D9-ABB9-8F03B96537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accent1">
                      <a:lumMod val="60000"/>
                      <a:lumOff val="4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'Shelter Type by Gov of Return'!$B$86:$B$88</c:f>
              <c:strCache>
                <c:ptCount val="3"/>
                <c:pt idx="0">
                  <c:v>Habitual Residnece (Habitable)</c:v>
                </c:pt>
                <c:pt idx="1">
                  <c:v>Critical Shelter</c:v>
                </c:pt>
                <c:pt idx="2">
                  <c:v>Private Setting</c:v>
                </c:pt>
              </c:strCache>
            </c:strRef>
          </c:cat>
          <c:val>
            <c:numRef>
              <c:f>'Shelter Type by Gov of Return'!$C$86:$C$88</c:f>
              <c:numCache>
                <c:formatCode>#,##0</c:formatCode>
                <c:ptCount val="3"/>
                <c:pt idx="0">
                  <c:v>743926</c:v>
                </c:pt>
                <c:pt idx="1">
                  <c:v>27574</c:v>
                </c:pt>
                <c:pt idx="2">
                  <c:v>12697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C8-41D9-ABB9-8F03B965373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sz="1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Returnee Population in Habitual Residence (Uninhabitable)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00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Summary!$A$10:$A$17</c15:sqref>
                  </c15:fullRef>
                </c:ext>
              </c:extLst>
              <c:f>(Summary!$A$10:$A$11,Summary!$A$13,Summary!$A$15:$A$17)</c:f>
              <c:strCache>
                <c:ptCount val="6"/>
                <c:pt idx="0">
                  <c:v>Anbar</c:v>
                </c:pt>
                <c:pt idx="1">
                  <c:v>Baghdad</c:v>
                </c:pt>
                <c:pt idx="2">
                  <c:v>Diyala</c:v>
                </c:pt>
                <c:pt idx="3">
                  <c:v>Kirkuk</c:v>
                </c:pt>
                <c:pt idx="4">
                  <c:v>Ninewa</c:v>
                </c:pt>
                <c:pt idx="5">
                  <c:v>Salah al-Din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Summary!$O$10:$O$17</c15:sqref>
                  </c15:fullRef>
                </c:ext>
              </c:extLst>
              <c:f>(Summary!$O$10:$O$11,Summary!$O$13,Summary!$O$15:$O$17)</c:f>
              <c:numCache>
                <c:formatCode>0%</c:formatCode>
                <c:ptCount val="6"/>
                <c:pt idx="0">
                  <c:v>0.24161022753215128</c:v>
                </c:pt>
                <c:pt idx="1">
                  <c:v>3.9723004337569437E-2</c:v>
                </c:pt>
                <c:pt idx="2">
                  <c:v>0.14466174568145498</c:v>
                </c:pt>
                <c:pt idx="3">
                  <c:v>2.9183471577505518E-2</c:v>
                </c:pt>
                <c:pt idx="4">
                  <c:v>0.33593333840651396</c:v>
                </c:pt>
                <c:pt idx="5">
                  <c:v>0.2088882124648048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21-450B-BC9F-21D288A657C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</c:dLbls>
        <c:gapWidth val="219"/>
        <c:overlap val="-27"/>
        <c:axId val="1429241519"/>
        <c:axId val="1452792031"/>
      </c:barChart>
      <c:catAx>
        <c:axId val="1429241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2792031"/>
        <c:crosses val="autoZero"/>
        <c:auto val="1"/>
        <c:lblAlgn val="ctr"/>
        <c:lblOffset val="100"/>
        <c:noMultiLvlLbl val="0"/>
      </c:catAx>
      <c:valAx>
        <c:axId val="1452792031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429241519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1600">
          <a:latin typeface="+mn-lt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0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>
      <cs:styleClr val="0"/>
    </cs:lnRef>
    <cs:fillRef idx="0"/>
    <cs:effectRef idx="0"/>
    <cs:fontRef idx="minor">
      <cs:styleClr val="0"/>
    </cs:fontRef>
    <cs:defRPr sz="900" b="1" kern="1200"/>
  </cs:dataLabel>
  <cs:dataLabelCallout>
    <cs:lnRef idx="0">
      <cs:styleClr val="0"/>
    </cs:lnRef>
    <cs:fillRef idx="0"/>
    <cs:effectRef idx="0"/>
    <cs:fontRef idx="minor">
      <cs:styleClr val="0"/>
    </cs:fontRef>
    <cs:spPr>
      <a:solidFill>
        <a:schemeClr val="lt1"/>
      </a:solidFill>
      <a:ln>
        <a:solidFill>
          <a:schemeClr val="phClr"/>
        </a:solidFill>
      </a:ln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0"/>
    </cs:lnRef>
    <cs:fillRef idx="0"/>
    <cs:effectRef idx="0"/>
    <cs:fontRef idx="minor">
      <a:schemeClr val="dk1"/>
    </cs:fontRef>
    <cs:spPr>
      <a:solidFill>
        <a:schemeClr val="lt1"/>
      </a:solidFill>
      <a:ln w="19050"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124240</xdr:colOff>
      <xdr:row>0</xdr:row>
      <xdr:rowOff>198782</xdr:rowOff>
    </xdr:from>
    <xdr:to>
      <xdr:col>9</xdr:col>
      <xdr:colOff>68051</xdr:colOff>
      <xdr:row>7</xdr:row>
      <xdr:rowOff>70401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7CF95A6-7498-45F7-8C5A-6EC57E90F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5892" y="198782"/>
          <a:ext cx="3008376" cy="132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53810</xdr:colOff>
      <xdr:row>31</xdr:row>
      <xdr:rowOff>65532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E01192-4D73-4ED2-89B2-5D86D1EC07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131684</xdr:colOff>
      <xdr:row>40</xdr:row>
      <xdr:rowOff>143760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A8FFA8F-20B8-4F17-AEA9-0CDC85FE7E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16330</xdr:colOff>
      <xdr:row>47</xdr:row>
      <xdr:rowOff>-1</xdr:rowOff>
    </xdr:from>
    <xdr:to>
      <xdr:col>5</xdr:col>
      <xdr:colOff>523875</xdr:colOff>
      <xdr:row>83</xdr:row>
      <xdr:rowOff>91439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0C29BDC-6A5B-46E0-BE3A-8F9EB9DF04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629084</xdr:colOff>
      <xdr:row>47</xdr:row>
      <xdr:rowOff>9648</xdr:rowOff>
    </xdr:from>
    <xdr:to>
      <xdr:col>12</xdr:col>
      <xdr:colOff>547687</xdr:colOff>
      <xdr:row>83</xdr:row>
      <xdr:rowOff>101088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5F1BC0-FD89-4B4D-A91C-9BAF3DBFD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962.430410416666" createdVersion="6" refreshedVersion="6" minRefreshableVersion="3" recordCount="10" xr:uid="{6D854504-1BF8-4ECD-B9E7-FEE2EE603D15}">
  <cacheSource type="worksheet">
    <worksheetSource ref="A48:E58" sheet="Summary"/>
  </cacheSource>
  <cacheFields count="5">
    <cacheField name="Period of  Displacement " numFmtId="49">
      <sharedItems count="10">
        <s v="Pre-June14"/>
        <s v="June-July14"/>
        <s v="August14"/>
        <s v="Post September14"/>
        <s v="Post April15"/>
        <s v="Post March 2016"/>
        <s v="Post 17October 2016"/>
        <s v="July 2017"/>
        <s v="January 2019"/>
        <s v="January 2020"/>
      </sharedItems>
    </cacheField>
    <cacheField name="Returnees Households " numFmtId="164">
      <sharedItems containsSemiMixedTypes="0" containsString="0" containsNumber="1" containsInteger="1" minValue="0" maxValue="164044"/>
    </cacheField>
    <cacheField name="Returnees Individuals " numFmtId="164">
      <sharedItems containsSemiMixedTypes="0" containsString="0" containsNumber="1" containsInteger="1" minValue="0" maxValue="984264"/>
    </cacheField>
    <cacheField name="%" numFmtId="9">
      <sharedItems containsSemiMixedTypes="0" containsString="0" containsNumber="1" minValue="0" maxValue="0.20918723228984554"/>
    </cacheField>
    <cacheField name="rank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n v="83467"/>
    <n v="500802"/>
    <n v="0.10643626537719476"/>
    <n v="9"/>
  </r>
  <r>
    <x v="1"/>
    <n v="121229"/>
    <n v="727374"/>
    <n v="0.15458998185404943"/>
    <n v="8"/>
  </r>
  <r>
    <x v="2"/>
    <n v="138353"/>
    <n v="830118"/>
    <n v="0.17642633164880764"/>
    <n v="7"/>
  </r>
  <r>
    <x v="3"/>
    <n v="92158"/>
    <n v="552948"/>
    <n v="0.11751893975620922"/>
    <n v="6"/>
  </r>
  <r>
    <x v="4"/>
    <n v="69873"/>
    <n v="419238"/>
    <n v="8.9101335506256721E-2"/>
    <n v="5"/>
  </r>
  <r>
    <x v="5"/>
    <n v="52097"/>
    <n v="312582"/>
    <n v="6.6433561974860902E-2"/>
    <n v="4"/>
  </r>
  <r>
    <x v="6"/>
    <n v="164044"/>
    <n v="984264"/>
    <n v="0.20918723228984554"/>
    <n v="3"/>
  </r>
  <r>
    <x v="7"/>
    <n v="62673"/>
    <n v="376038"/>
    <n v="7.9919969089399731E-2"/>
    <n v="2"/>
  </r>
  <r>
    <x v="8"/>
    <n v="303"/>
    <n v="1818"/>
    <n v="3.8638250337606495E-4"/>
    <n v="1"/>
  </r>
  <r>
    <x v="9"/>
    <n v="0"/>
    <n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B1BAB8-F60C-4DC9-B9D7-4504138651E6}" name="PivotTable3" cacheId="0" applyNumberFormats="0" applyBorderFormats="0" applyFontFormats="0" applyPatternFormats="0" applyAlignmentFormats="0" applyWidthHeightFormats="1" dataCaption="Values" updatedVersion="6" minRefreshableVersion="3" useAutoFormatting="1" rowGrandTotals="0" itemPrintTitles="1" createdVersion="6" indent="0" outline="1" outlineData="1" multipleFieldFilters="0" chartFormat="1">
  <location ref="A1:D11" firstHeaderRow="0" firstDataRow="1" firstDataCol="1"/>
  <pivotFields count="5">
    <pivotField axis="axisRow" showAll="0" sortType="descending">
      <items count="11">
        <item x="2"/>
        <item x="8"/>
        <item x="7"/>
        <item x="1"/>
        <item x="6"/>
        <item x="4"/>
        <item x="5"/>
        <item x="3"/>
        <item x="0"/>
        <item x="9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numFmtId="164" showAll="0"/>
    <pivotField dataField="1" numFmtId="164" showAll="0"/>
    <pivotField dataField="1" numFmtId="9" showAll="0"/>
    <pivotField dataField="1" showAll="0"/>
  </pivotFields>
  <rowFields count="1">
    <field x="0"/>
  </rowFields>
  <rowItems count="10">
    <i>
      <x v="8"/>
    </i>
    <i>
      <x v="3"/>
    </i>
    <i>
      <x/>
    </i>
    <i>
      <x v="7"/>
    </i>
    <i>
      <x v="5"/>
    </i>
    <i>
      <x v="6"/>
    </i>
    <i>
      <x v="4"/>
    </i>
    <i>
      <x v="2"/>
    </i>
    <i>
      <x v="1"/>
    </i>
    <i>
      <x v="9"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Returnees Individuals " fld="2" baseField="0" baseItem="0"/>
    <dataField name="Sum of %" fld="3" baseField="0" baseItem="0"/>
    <dataField name="Sum of rank" fld="4" baseField="0" baseItem="0"/>
  </dataFields>
  <formats count="10">
    <format dxfId="10">
      <pivotArea collapsedLevelsAreSubtotals="1" fieldPosition="0">
        <references count="2">
          <reference field="4294967294" count="1" selected="0">
            <x v="1"/>
          </reference>
          <reference field="0" count="0"/>
        </references>
      </pivotArea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field="0" type="button" dataOnly="0" labelOnly="1" outline="0" axis="axisRow" fieldPosition="0"/>
    </format>
    <format dxfId="6">
      <pivotArea dataOnly="0" labelOnly="1" fieldPosition="0">
        <references count="1">
          <reference field="0" count="0"/>
        </references>
      </pivotArea>
    </format>
    <format dxfId="5">
      <pivotArea dataOnly="0" labelOnly="1" grandRow="1" outline="0" fieldPosition="0"/>
    </format>
    <format dxfId="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">
      <pivotArea dataOnly="0" grandRow="1" axis="axisRow" fieldPosition="0"/>
    </format>
    <format dxfId="2">
      <pivotArea collapsedLevelsAreSubtotals="1" fieldPosition="0">
        <references count="1">
          <reference field="0" count="1">
            <x v="1"/>
          </reference>
        </references>
      </pivotArea>
    </format>
    <format dxfId="1">
      <pivotArea dataOnly="0" labelOnly="1" fieldPosition="0">
        <references count="1">
          <reference field="0" count="1">
            <x v="1"/>
          </reference>
        </references>
      </pivotArea>
    </format>
  </formats>
  <chartFormats count="3">
    <chartFormat chart="0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N26"/>
  <sheetViews>
    <sheetView tabSelected="1" zoomScaleNormal="100" workbookViewId="0">
      <selection activeCell="D26" sqref="D26"/>
    </sheetView>
  </sheetViews>
  <sheetFormatPr defaultColWidth="9.140625" defaultRowHeight="17.100000000000001" customHeight="1" x14ac:dyDescent="0.25"/>
  <cols>
    <col min="1" max="1" width="9.140625" style="75" customWidth="1"/>
    <col min="2" max="13" width="9.140625" style="75"/>
    <col min="14" max="14" width="9.140625" style="75" customWidth="1"/>
    <col min="15" max="16384" width="9.140625" style="75"/>
  </cols>
  <sheetData>
    <row r="9" spans="1:14" ht="17.100000000000001" customHeight="1" x14ac:dyDescent="0.25">
      <c r="A9" s="111" t="s">
        <v>3879</v>
      </c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</row>
    <row r="10" spans="1:14" ht="21.75" customHeight="1" x14ac:dyDescent="0.25">
      <c r="A10" s="101"/>
      <c r="B10" s="98"/>
      <c r="C10" s="98"/>
      <c r="D10" s="112" t="s">
        <v>4023</v>
      </c>
      <c r="E10" s="112"/>
      <c r="F10" s="112"/>
      <c r="G10" s="112"/>
      <c r="H10" s="112"/>
      <c r="I10" s="112"/>
      <c r="J10" s="112"/>
      <c r="K10" s="112"/>
      <c r="L10" s="98"/>
      <c r="M10" s="98"/>
      <c r="N10" s="98"/>
    </row>
    <row r="11" spans="1:14" ht="21.75" customHeight="1" x14ac:dyDescent="0.25">
      <c r="A11" s="98"/>
      <c r="B11" s="98"/>
      <c r="C11" s="98"/>
      <c r="D11" s="112"/>
      <c r="E11" s="112"/>
      <c r="F11" s="112"/>
      <c r="G11" s="112"/>
      <c r="H11" s="112"/>
      <c r="I11" s="112"/>
      <c r="J11" s="112"/>
      <c r="K11" s="112"/>
      <c r="L11" s="98"/>
      <c r="M11" s="98"/>
      <c r="N11" s="98"/>
    </row>
    <row r="12" spans="1:14" ht="17.100000000000001" customHeight="1" x14ac:dyDescent="0.25">
      <c r="A12" s="98"/>
      <c r="B12" s="98"/>
      <c r="C12" s="98"/>
      <c r="D12" s="107"/>
      <c r="E12" s="107"/>
      <c r="F12" s="107"/>
      <c r="G12" s="107"/>
      <c r="H12" s="107"/>
      <c r="I12" s="107"/>
      <c r="J12" s="107"/>
      <c r="K12" s="107"/>
      <c r="L12" s="98"/>
      <c r="M12" s="98"/>
      <c r="N12" s="98"/>
    </row>
    <row r="13" spans="1:14" ht="17.100000000000001" customHeight="1" x14ac:dyDescent="0.25">
      <c r="A13" s="98"/>
      <c r="B13" s="98"/>
      <c r="C13" s="98"/>
      <c r="D13" s="107"/>
      <c r="E13" s="107"/>
      <c r="F13" s="107"/>
      <c r="G13" s="107"/>
      <c r="H13" s="107"/>
      <c r="I13" s="107"/>
      <c r="J13" s="107"/>
      <c r="K13" s="107"/>
      <c r="L13" s="98"/>
      <c r="M13" s="98"/>
      <c r="N13" s="98"/>
    </row>
    <row r="14" spans="1:14" ht="17.100000000000001" customHeight="1" x14ac:dyDescent="0.25">
      <c r="A14" s="101"/>
      <c r="B14" s="99"/>
      <c r="C14" s="99"/>
      <c r="D14" s="99" t="s">
        <v>0</v>
      </c>
      <c r="E14" s="99"/>
      <c r="F14" s="99"/>
      <c r="G14" s="99"/>
      <c r="H14" s="99"/>
      <c r="I14" s="99"/>
      <c r="J14" s="99"/>
      <c r="K14" s="99"/>
      <c r="L14" s="99"/>
      <c r="M14" s="99"/>
      <c r="N14" s="99"/>
    </row>
    <row r="15" spans="1:14" ht="17.100000000000001" customHeight="1" x14ac:dyDescent="0.25">
      <c r="A15" s="101"/>
      <c r="B15" s="100"/>
      <c r="C15" s="100"/>
      <c r="D15" s="100" t="s">
        <v>1</v>
      </c>
      <c r="E15" s="100"/>
      <c r="F15" s="100"/>
      <c r="G15" s="100"/>
      <c r="H15" s="100"/>
      <c r="I15" s="100"/>
      <c r="J15" s="100"/>
      <c r="K15" s="100"/>
      <c r="L15" s="100"/>
      <c r="M15" s="100"/>
      <c r="N15" s="100"/>
    </row>
    <row r="16" spans="1:14" ht="17.100000000000001" customHeight="1" x14ac:dyDescent="0.25">
      <c r="A16" s="101"/>
      <c r="B16" s="100"/>
      <c r="C16" s="100"/>
      <c r="D16" s="100" t="s">
        <v>2</v>
      </c>
      <c r="E16" s="100"/>
      <c r="F16" s="100"/>
      <c r="G16" s="100"/>
      <c r="H16" s="100"/>
      <c r="I16" s="100"/>
      <c r="J16" s="100"/>
      <c r="K16" s="100"/>
      <c r="L16" s="100"/>
      <c r="M16" s="100"/>
      <c r="N16" s="100"/>
    </row>
    <row r="17" spans="1:14" ht="17.100000000000001" customHeight="1" x14ac:dyDescent="0.25">
      <c r="A17" s="101"/>
      <c r="B17" s="100"/>
      <c r="C17" s="100"/>
      <c r="D17" s="100" t="s">
        <v>3</v>
      </c>
      <c r="E17" s="100"/>
      <c r="F17" s="100"/>
      <c r="G17" s="100"/>
      <c r="H17" s="100"/>
      <c r="I17" s="100"/>
      <c r="J17" s="100"/>
      <c r="K17" s="100"/>
      <c r="L17" s="100"/>
      <c r="M17" s="100"/>
      <c r="N17" s="100"/>
    </row>
    <row r="18" spans="1:14" ht="17.100000000000001" customHeight="1" x14ac:dyDescent="0.25">
      <c r="A18" s="101"/>
      <c r="B18" s="100"/>
      <c r="C18" s="100"/>
      <c r="D18" s="100" t="s">
        <v>4</v>
      </c>
      <c r="E18" s="100"/>
      <c r="F18" s="100"/>
      <c r="G18" s="100"/>
      <c r="H18" s="100"/>
      <c r="I18" s="100"/>
      <c r="J18" s="100"/>
      <c r="K18" s="100"/>
      <c r="L18" s="100"/>
      <c r="M18" s="100"/>
      <c r="N18" s="100"/>
    </row>
    <row r="19" spans="1:14" ht="17.100000000000001" customHeight="1" x14ac:dyDescent="0.25">
      <c r="A19" s="101"/>
      <c r="B19" s="100"/>
      <c r="C19" s="100"/>
      <c r="D19" s="100" t="s">
        <v>5</v>
      </c>
      <c r="E19" s="100"/>
      <c r="F19" s="100"/>
      <c r="G19" s="100"/>
      <c r="H19" s="100"/>
      <c r="I19" s="100"/>
      <c r="J19" s="100"/>
      <c r="K19" s="100"/>
      <c r="L19" s="100"/>
      <c r="M19" s="100"/>
      <c r="N19" s="100"/>
    </row>
    <row r="20" spans="1:14" ht="17.100000000000001" customHeight="1" x14ac:dyDescent="0.25">
      <c r="A20" s="101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</row>
    <row r="21" spans="1:14" ht="17.100000000000001" customHeight="1" x14ac:dyDescent="0.25">
      <c r="A21" s="101"/>
      <c r="B21" s="99"/>
      <c r="C21" s="99"/>
      <c r="D21" s="99" t="s">
        <v>6</v>
      </c>
      <c r="E21" s="99"/>
      <c r="F21" s="99"/>
      <c r="G21" s="99"/>
      <c r="H21" s="99"/>
      <c r="I21" s="99"/>
      <c r="J21" s="99"/>
      <c r="K21" s="99"/>
      <c r="L21" s="99"/>
      <c r="M21" s="99"/>
      <c r="N21" s="99"/>
    </row>
    <row r="22" spans="1:14" ht="17.100000000000001" customHeight="1" x14ac:dyDescent="0.25">
      <c r="A22" s="101"/>
      <c r="B22" s="100"/>
      <c r="C22" s="100"/>
      <c r="D22" s="100" t="s">
        <v>7</v>
      </c>
      <c r="E22" s="100"/>
      <c r="F22" s="100"/>
      <c r="G22" s="100"/>
      <c r="H22" s="100"/>
      <c r="I22" s="100"/>
      <c r="J22" s="100"/>
      <c r="K22" s="100"/>
      <c r="L22" s="100"/>
      <c r="M22" s="100"/>
      <c r="N22" s="100"/>
    </row>
    <row r="23" spans="1:14" ht="17.100000000000001" customHeight="1" x14ac:dyDescent="0.25">
      <c r="A23" s="101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</row>
    <row r="24" spans="1:14" ht="17.100000000000001" customHeight="1" x14ac:dyDescent="0.25">
      <c r="A24" s="101"/>
      <c r="B24" s="99"/>
      <c r="C24" s="99"/>
      <c r="D24" s="99" t="s">
        <v>8</v>
      </c>
      <c r="E24" s="99"/>
      <c r="F24" s="99"/>
      <c r="G24" s="99"/>
      <c r="H24" s="99"/>
      <c r="I24" s="99"/>
      <c r="J24" s="99"/>
      <c r="K24" s="99"/>
      <c r="L24" s="99"/>
      <c r="M24" s="99"/>
      <c r="N24" s="99"/>
    </row>
    <row r="25" spans="1:14" ht="17.100000000000001" customHeight="1" x14ac:dyDescent="0.25">
      <c r="A25" s="101"/>
      <c r="B25" s="100"/>
      <c r="C25" s="100"/>
      <c r="D25" s="100" t="s">
        <v>9</v>
      </c>
      <c r="E25" s="100"/>
      <c r="F25" s="100"/>
      <c r="G25" s="100"/>
      <c r="H25" s="100"/>
      <c r="I25" s="100"/>
      <c r="J25" s="100"/>
      <c r="K25" s="100"/>
      <c r="L25" s="100"/>
      <c r="M25" s="100"/>
      <c r="N25" s="100"/>
    </row>
    <row r="26" spans="1:14" ht="17.100000000000001" customHeight="1" x14ac:dyDescent="0.25">
      <c r="A26" s="101"/>
      <c r="B26" s="100"/>
      <c r="C26" s="100"/>
      <c r="D26" s="100" t="s">
        <v>10</v>
      </c>
      <c r="E26" s="100"/>
      <c r="F26" s="100"/>
      <c r="G26" s="100"/>
      <c r="H26" s="100"/>
      <c r="I26" s="100"/>
      <c r="J26" s="100"/>
      <c r="K26" s="100"/>
      <c r="L26" s="100"/>
      <c r="M26" s="100"/>
      <c r="N26" s="100"/>
    </row>
  </sheetData>
  <mergeCells count="2">
    <mergeCell ref="A9:N9"/>
    <mergeCell ref="D10:K11"/>
  </mergeCells>
  <hyperlinks>
    <hyperlink ref="B15:N15" location="Shelter_Type" display="Shelter Type" xr:uid="{00000000-0004-0000-0000-000000000000}"/>
    <hyperlink ref="B16:N16" location="Gov_Last_Disp" display="Governorate of Last Displacement" xr:uid="{00000000-0004-0000-0000-000001000000}"/>
    <hyperlink ref="B17:N17" location="Former_Displacement_Governorate_of_Return" display="Period of Former Displacement and Governorate of Return" xr:uid="{00000000-0004-0000-0000-000002000000}"/>
    <hyperlink ref="B18:N18" location="Period_Fromer_Displacement" display="Period of Fromer Displacement" xr:uid="{00000000-0004-0000-0000-000003000000}"/>
    <hyperlink ref="B19:N19" location="District_of_Return" display="District of Return" xr:uid="{00000000-0004-0000-0000-000004000000}"/>
    <hyperlink ref="B22:N22" location="'RETURNEE DATASET'!A1" display="The whole dataset is located under DTM DATASET tab." xr:uid="{00000000-0004-0000-0000-000005000000}"/>
    <hyperlink ref="B25:N25" location="'Period Of Displacement'!A1" display="Period of Displacement includes a chart that shows the number of Returnees by Period of Displacement " xr:uid="{00000000-0004-0000-0000-000006000000}"/>
    <hyperlink ref="B26:N26" location="'Shelter Type by Gov of Return'!A1" display="Shelter Type is a breakdown chart  that shows Shelter Type by Governorate of Return" xr:uid="{00000000-0004-0000-0000-000007000000}"/>
  </hyperlink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01"/>
  <sheetViews>
    <sheetView showGridLines="0" topLeftCell="A22" zoomScaleNormal="100" workbookViewId="0">
      <selection activeCell="A33" sqref="A33"/>
    </sheetView>
  </sheetViews>
  <sheetFormatPr defaultColWidth="15.7109375" defaultRowHeight="12.75" x14ac:dyDescent="0.2"/>
  <cols>
    <col min="1" max="4" width="15.7109375" style="11"/>
    <col min="5" max="5" width="25" style="11" customWidth="1"/>
    <col min="6" max="6" width="19.85546875" style="11" customWidth="1"/>
    <col min="7" max="16384" width="15.7109375" style="11"/>
  </cols>
  <sheetData>
    <row r="1" spans="1:18" x14ac:dyDescent="0.2">
      <c r="A1" s="113" t="s">
        <v>11</v>
      </c>
      <c r="B1" s="114"/>
    </row>
    <row r="2" spans="1:18" x14ac:dyDescent="0.2">
      <c r="A2" s="12" t="s">
        <v>12</v>
      </c>
      <c r="B2" s="37" cm="1">
        <f t="array" ref="B2">SUMPRODUCT(1/COUNTIF('RETURNEE DATASET'!C4:C2030,'RETURNEE DATASET'!C4:C2030&amp;""))</f>
        <v>37.999999999999481</v>
      </c>
    </row>
    <row r="3" spans="1:18" x14ac:dyDescent="0.2">
      <c r="A3" s="12" t="s">
        <v>13</v>
      </c>
      <c r="B3" s="37">
        <f>COUNT('RETURNEE DATASET'!A:A)</f>
        <v>2027</v>
      </c>
    </row>
    <row r="4" spans="1:18" x14ac:dyDescent="0.2">
      <c r="A4" s="12" t="s">
        <v>14</v>
      </c>
      <c r="B4" s="37">
        <f>SUM('RETURNEE DATASET'!H:H)</f>
        <v>784197</v>
      </c>
    </row>
    <row r="5" spans="1:18" x14ac:dyDescent="0.2">
      <c r="A5" s="12" t="s">
        <v>15</v>
      </c>
      <c r="B5" s="37">
        <f>SUM('RETURNEE DATASET'!I:I)</f>
        <v>4705182</v>
      </c>
    </row>
    <row r="7" spans="1:18" ht="18" customHeight="1" x14ac:dyDescent="0.2">
      <c r="A7" s="84" t="s">
        <v>4024</v>
      </c>
    </row>
    <row r="8" spans="1:18" ht="15" customHeight="1" x14ac:dyDescent="0.2">
      <c r="A8" s="20" t="s">
        <v>16</v>
      </c>
      <c r="B8" s="119" t="s">
        <v>3877</v>
      </c>
      <c r="C8" s="120"/>
      <c r="D8" s="120"/>
      <c r="E8" s="120"/>
      <c r="F8" s="120"/>
      <c r="G8" s="120"/>
      <c r="H8" s="120"/>
      <c r="I8" s="120"/>
      <c r="J8" s="120"/>
      <c r="K8" s="120"/>
      <c r="L8" s="120"/>
    </row>
    <row r="9" spans="1:18" s="17" customFormat="1" ht="25.5" customHeight="1" x14ac:dyDescent="0.25">
      <c r="A9" s="21" t="s">
        <v>17</v>
      </c>
      <c r="B9" s="22" t="s">
        <v>20</v>
      </c>
      <c r="C9" s="22" t="s">
        <v>21</v>
      </c>
      <c r="D9" s="22" t="s">
        <v>24</v>
      </c>
      <c r="E9" s="110" t="s">
        <v>18</v>
      </c>
      <c r="F9" s="108" t="s">
        <v>19</v>
      </c>
      <c r="G9" s="108" t="s">
        <v>22</v>
      </c>
      <c r="H9" s="108" t="s">
        <v>26</v>
      </c>
      <c r="I9" s="108" t="s">
        <v>23</v>
      </c>
      <c r="J9" s="108" t="s">
        <v>25</v>
      </c>
      <c r="K9" s="108" t="s">
        <v>3878</v>
      </c>
      <c r="L9" s="22" t="s">
        <v>27</v>
      </c>
      <c r="M9" s="22" t="s">
        <v>28</v>
      </c>
      <c r="Q9" s="23"/>
    </row>
    <row r="10" spans="1:18" x14ac:dyDescent="0.2">
      <c r="A10" s="12" t="s">
        <v>29</v>
      </c>
      <c r="B10" s="13">
        <f>SUMIF('RETURNEE DATASET'!B:B,A10,'RETURNEE DATASET'!J:J)</f>
        <v>14</v>
      </c>
      <c r="C10" s="13">
        <f>SUMIF('RETURNEE DATASET'!B:B,A10,'RETURNEE DATASET'!K:K)</f>
        <v>0</v>
      </c>
      <c r="D10" s="13">
        <f>SUMIF('RETURNEE DATASET'!B:B,A10,'RETURNEE DATASET'!L:L)</f>
        <v>5560</v>
      </c>
      <c r="E10" s="13">
        <f>SUMIF('RETURNEE DATASET'!B:B,A10,'RETURNEE DATASET'!M:M)</f>
        <v>238105</v>
      </c>
      <c r="F10" s="13">
        <f>SUMIF('RETURNEE DATASET'!B:B,A10,'RETURNEE DATASET'!N:N)</f>
        <v>6350</v>
      </c>
      <c r="G10" s="13">
        <f>SUMIF('RETURNEE DATASET'!B:B,A10,'RETURNEE DATASET'!O:O)</f>
        <v>0</v>
      </c>
      <c r="H10" s="13">
        <f>SUMIF('RETURNEE DATASET'!B:B,A10,'RETURNEE DATASET'!P:P)</f>
        <v>0</v>
      </c>
      <c r="I10" s="13">
        <f>SUMIF('RETURNEE DATASET'!B:B,A10,'RETURNEE DATASET'!Q:Q)</f>
        <v>0</v>
      </c>
      <c r="J10" s="13">
        <f>SUMIF('RETURNEE DATASET'!B:B,A10,'RETURNEE DATASET'!R:R)</f>
        <v>0</v>
      </c>
      <c r="K10" s="13">
        <f>SUMIF('RETURNEE DATASET'!B:B,A10,'RETURNEE DATASET'!S:S)</f>
        <v>286</v>
      </c>
      <c r="L10" s="13">
        <f>SUMIF('RETURNEE DATASET'!B:B,A10,'RETURNEE DATASET'!T:T)</f>
        <v>0</v>
      </c>
      <c r="M10" s="13">
        <f>SUM(B10:L10)</f>
        <v>250315</v>
      </c>
      <c r="O10" s="25">
        <f t="shared" ref="O10:O18" si="0">F10/$F$18</f>
        <v>0.24161022753215128</v>
      </c>
      <c r="P10" s="25">
        <f t="shared" ref="P10:P17" si="1">$O$18-O10</f>
        <v>0.75838977246784878</v>
      </c>
      <c r="Q10" s="24"/>
      <c r="R10" s="26"/>
    </row>
    <row r="11" spans="1:18" x14ac:dyDescent="0.2">
      <c r="A11" s="12" t="s">
        <v>30</v>
      </c>
      <c r="B11" s="13">
        <f>SUMIF('RETURNEE DATASET'!B:B,A11,'RETURNEE DATASET'!J:J)</f>
        <v>53</v>
      </c>
      <c r="C11" s="13">
        <f>SUMIF('RETURNEE DATASET'!B:B,A11,'RETURNEE DATASET'!K:K)</f>
        <v>0</v>
      </c>
      <c r="D11" s="13">
        <f>SUMIF('RETURNEE DATASET'!B:B,A11,'RETURNEE DATASET'!L:L)</f>
        <v>52</v>
      </c>
      <c r="E11" s="13">
        <f>SUMIF('RETURNEE DATASET'!B:B,A11,'RETURNEE DATASET'!M:M)</f>
        <v>13889</v>
      </c>
      <c r="F11" s="13">
        <f>SUMIF('RETURNEE DATASET'!B:B,A11,'RETURNEE DATASET'!N:N)</f>
        <v>1044</v>
      </c>
      <c r="G11" s="13">
        <f>SUMIF('RETURNEE DATASET'!B:B,A11,'RETURNEE DATASET'!O:O)</f>
        <v>0</v>
      </c>
      <c r="H11" s="13">
        <f>SUMIF('RETURNEE DATASET'!B:B,A11,'RETURNEE DATASET'!P:P)</f>
        <v>0</v>
      </c>
      <c r="I11" s="13">
        <f>SUMIF('RETURNEE DATASET'!B:B,A11,'RETURNEE DATASET'!Q:Q)</f>
        <v>0</v>
      </c>
      <c r="J11" s="13">
        <f>SUMIF('RETURNEE DATASET'!B:B,A11,'RETURNEE DATASET'!R:R)</f>
        <v>0</v>
      </c>
      <c r="K11" s="13">
        <f>SUMIF('RETURNEE DATASET'!B:B,A11,'RETURNEE DATASET'!S:S)</f>
        <v>0</v>
      </c>
      <c r="L11" s="13">
        <f>SUMIF('RETURNEE DATASET'!B:B,A11,'RETURNEE DATASET'!T:T)</f>
        <v>0</v>
      </c>
      <c r="M11" s="13">
        <f t="shared" ref="M11:M17" si="2">SUM(B11:L11)</f>
        <v>15038</v>
      </c>
      <c r="O11" s="25">
        <f t="shared" si="0"/>
        <v>3.9723004337569437E-2</v>
      </c>
      <c r="P11" s="25">
        <f t="shared" si="1"/>
        <v>0.96027699566243052</v>
      </c>
      <c r="Q11" s="24"/>
      <c r="R11" s="26"/>
    </row>
    <row r="12" spans="1:18" x14ac:dyDescent="0.2">
      <c r="A12" s="12" t="s">
        <v>31</v>
      </c>
      <c r="B12" s="13">
        <f>SUMIF('RETURNEE DATASET'!B:B,A12,'RETURNEE DATASET'!J:J)</f>
        <v>0</v>
      </c>
      <c r="C12" s="13">
        <f>SUMIF('RETURNEE DATASET'!B:B,A12,'RETURNEE DATASET'!K:K)</f>
        <v>0</v>
      </c>
      <c r="D12" s="13">
        <f>SUMIF('RETURNEE DATASET'!B:B,A12,'RETURNEE DATASET'!L:L)</f>
        <v>0</v>
      </c>
      <c r="E12" s="13">
        <f>SUMIF('RETURNEE DATASET'!B:B,A12,'RETURNEE DATASET'!M:M)</f>
        <v>128</v>
      </c>
      <c r="F12" s="13">
        <f>SUMIF('RETURNEE DATASET'!B:B,A12,'RETURNEE DATASET'!N:N)</f>
        <v>0</v>
      </c>
      <c r="G12" s="13">
        <f>SUMIF('RETURNEE DATASET'!B:B,A12,'RETURNEE DATASET'!O:O)</f>
        <v>0</v>
      </c>
      <c r="H12" s="13">
        <f>SUMIF('RETURNEE DATASET'!B:B,A12,'RETURNEE DATASET'!P:P)</f>
        <v>0</v>
      </c>
      <c r="I12" s="13">
        <f>SUMIF('RETURNEE DATASET'!B:B,A12,'RETURNEE DATASET'!Q:Q)</f>
        <v>0</v>
      </c>
      <c r="J12" s="13">
        <f>SUMIF('RETURNEE DATASET'!B:B,A12,'RETURNEE DATASET'!R:R)</f>
        <v>0</v>
      </c>
      <c r="K12" s="13">
        <f>SUMIF('RETURNEE DATASET'!B:B,A12,'RETURNEE DATASET'!S:S)</f>
        <v>0</v>
      </c>
      <c r="L12" s="13">
        <f>SUMIF('RETURNEE DATASET'!B:B,A12,'RETURNEE DATASET'!T:T)</f>
        <v>0</v>
      </c>
      <c r="M12" s="13">
        <f t="shared" si="2"/>
        <v>128</v>
      </c>
      <c r="O12" s="25">
        <f t="shared" si="0"/>
        <v>0</v>
      </c>
      <c r="P12" s="25">
        <f t="shared" si="1"/>
        <v>1</v>
      </c>
      <c r="Q12" s="24"/>
      <c r="R12" s="26"/>
    </row>
    <row r="13" spans="1:18" x14ac:dyDescent="0.2">
      <c r="A13" s="12" t="s">
        <v>32</v>
      </c>
      <c r="B13" s="13">
        <f>SUMIF('RETURNEE DATASET'!B:B,A13,'RETURNEE DATASET'!J:J)</f>
        <v>29</v>
      </c>
      <c r="C13" s="13">
        <f>SUMIF('RETURNEE DATASET'!B:B,A13,'RETURNEE DATASET'!K:K)</f>
        <v>0</v>
      </c>
      <c r="D13" s="13">
        <f>SUMIF('RETURNEE DATASET'!B:B,A13,'RETURNEE DATASET'!L:L)</f>
        <v>413</v>
      </c>
      <c r="E13" s="13">
        <f>SUMIF('RETURNEE DATASET'!B:B,A13,'RETURNEE DATASET'!M:M)</f>
        <v>34125</v>
      </c>
      <c r="F13" s="13">
        <f>SUMIF('RETURNEE DATASET'!B:B,A13,'RETURNEE DATASET'!N:N)</f>
        <v>3802</v>
      </c>
      <c r="G13" s="13">
        <f>SUMIF('RETURNEE DATASET'!B:B,A13,'RETURNEE DATASET'!O:O)</f>
        <v>0</v>
      </c>
      <c r="H13" s="13">
        <f>SUMIF('RETURNEE DATASET'!B:B,A13,'RETURNEE DATASET'!P:P)</f>
        <v>0</v>
      </c>
      <c r="I13" s="13">
        <f>SUMIF('RETURNEE DATASET'!B:B,A13,'RETURNEE DATASET'!Q:Q)</f>
        <v>0</v>
      </c>
      <c r="J13" s="13">
        <f>SUMIF('RETURNEE DATASET'!B:B,A13,'RETURNEE DATASET'!R:R)</f>
        <v>0</v>
      </c>
      <c r="K13" s="13">
        <f>SUMIF('RETURNEE DATASET'!B:B,A13,'RETURNEE DATASET'!S:S)</f>
        <v>0</v>
      </c>
      <c r="L13" s="13">
        <f>SUMIF('RETURNEE DATASET'!B:B,A13,'RETURNEE DATASET'!T:T)</f>
        <v>0</v>
      </c>
      <c r="M13" s="13">
        <f t="shared" si="2"/>
        <v>38369</v>
      </c>
      <c r="O13" s="25">
        <f t="shared" si="0"/>
        <v>0.14466174568145498</v>
      </c>
      <c r="P13" s="25">
        <f t="shared" si="1"/>
        <v>0.85533825431854504</v>
      </c>
      <c r="Q13" s="24"/>
      <c r="R13" s="26"/>
    </row>
    <row r="14" spans="1:18" x14ac:dyDescent="0.2">
      <c r="A14" s="12" t="s">
        <v>33</v>
      </c>
      <c r="B14" s="13">
        <f>SUMIF('RETURNEE DATASET'!B:B,A14,'RETURNEE DATASET'!J:J)</f>
        <v>0</v>
      </c>
      <c r="C14" s="13">
        <f>SUMIF('RETURNEE DATASET'!B:B,A14,'RETURNEE DATASET'!K:K)</f>
        <v>0</v>
      </c>
      <c r="D14" s="13">
        <f>SUMIF('RETURNEE DATASET'!B:B,A14,'RETURNEE DATASET'!L:L)</f>
        <v>30</v>
      </c>
      <c r="E14" s="13">
        <f>SUMIF('RETURNEE DATASET'!B:B,A14,'RETURNEE DATASET'!M:M)</f>
        <v>8783</v>
      </c>
      <c r="F14" s="13">
        <f>SUMIF('RETURNEE DATASET'!B:B,A14,'RETURNEE DATASET'!N:N)</f>
        <v>0</v>
      </c>
      <c r="G14" s="13">
        <f>SUMIF('RETURNEE DATASET'!B:B,A14,'RETURNEE DATASET'!O:O)</f>
        <v>0</v>
      </c>
      <c r="H14" s="13">
        <f>SUMIF('RETURNEE DATASET'!B:B,A14,'RETURNEE DATASET'!P:P)</f>
        <v>0</v>
      </c>
      <c r="I14" s="13">
        <f>SUMIF('RETURNEE DATASET'!B:B,A14,'RETURNEE DATASET'!Q:Q)</f>
        <v>0</v>
      </c>
      <c r="J14" s="13">
        <f>SUMIF('RETURNEE DATASET'!B:B,A14,'RETURNEE DATASET'!R:R)</f>
        <v>0</v>
      </c>
      <c r="K14" s="13">
        <f>SUMIF('RETURNEE DATASET'!B:B,A14,'RETURNEE DATASET'!S:S)</f>
        <v>0</v>
      </c>
      <c r="L14" s="13">
        <f>SUMIF('RETURNEE DATASET'!B:B,A14,'RETURNEE DATASET'!T:T)</f>
        <v>0</v>
      </c>
      <c r="M14" s="13">
        <f t="shared" si="2"/>
        <v>8813</v>
      </c>
      <c r="O14" s="25">
        <f t="shared" si="0"/>
        <v>0</v>
      </c>
      <c r="P14" s="25">
        <f t="shared" si="1"/>
        <v>1</v>
      </c>
      <c r="Q14" s="24"/>
      <c r="R14" s="26"/>
    </row>
    <row r="15" spans="1:18" x14ac:dyDescent="0.2">
      <c r="A15" s="12" t="s">
        <v>34</v>
      </c>
      <c r="B15" s="13">
        <f>SUMIF('RETURNEE DATASET'!B:B,A15,'RETURNEE DATASET'!J:J)</f>
        <v>18</v>
      </c>
      <c r="C15" s="13">
        <f>SUMIF('RETURNEE DATASET'!B:B,A15,'RETURNEE DATASET'!K:K)</f>
        <v>0</v>
      </c>
      <c r="D15" s="13">
        <f>SUMIF('RETURNEE DATASET'!B:B,A15,'RETURNEE DATASET'!L:L)</f>
        <v>65</v>
      </c>
      <c r="E15" s="13">
        <f>SUMIF('RETURNEE DATASET'!B:B,A15,'RETURNEE DATASET'!M:M)</f>
        <v>55894</v>
      </c>
      <c r="F15" s="13">
        <f>SUMIF('RETURNEE DATASET'!B:B,A15,'RETURNEE DATASET'!N:N)</f>
        <v>767</v>
      </c>
      <c r="G15" s="13">
        <f>SUMIF('RETURNEE DATASET'!B:B,A15,'RETURNEE DATASET'!O:O)</f>
        <v>32</v>
      </c>
      <c r="H15" s="13">
        <f>SUMIF('RETURNEE DATASET'!B:B,A15,'RETURNEE DATASET'!P:P)</f>
        <v>0</v>
      </c>
      <c r="I15" s="13">
        <f>SUMIF('RETURNEE DATASET'!B:B,A15,'RETURNEE DATASET'!Q:Q)</f>
        <v>0</v>
      </c>
      <c r="J15" s="13">
        <f>SUMIF('RETURNEE DATASET'!B:B,A15,'RETURNEE DATASET'!R:R)</f>
        <v>0</v>
      </c>
      <c r="K15" s="13">
        <f>SUMIF('RETURNEE DATASET'!B:B,A15,'RETURNEE DATASET'!S:S)</f>
        <v>0</v>
      </c>
      <c r="L15" s="13">
        <f>SUMIF('RETURNEE DATASET'!B:B,A15,'RETURNEE DATASET'!T:T)</f>
        <v>0</v>
      </c>
      <c r="M15" s="13">
        <f t="shared" si="2"/>
        <v>56776</v>
      </c>
      <c r="O15" s="25">
        <f t="shared" si="0"/>
        <v>2.9183471577505518E-2</v>
      </c>
      <c r="P15" s="25">
        <f t="shared" si="1"/>
        <v>0.97081652842249444</v>
      </c>
      <c r="Q15" s="24"/>
      <c r="R15" s="26"/>
    </row>
    <row r="16" spans="1:18" x14ac:dyDescent="0.2">
      <c r="A16" s="12" t="s">
        <v>35</v>
      </c>
      <c r="B16" s="13">
        <f>SUMIF('RETURNEE DATASET'!B:B,A16,'RETURNEE DATASET'!J:J)</f>
        <v>860</v>
      </c>
      <c r="C16" s="13">
        <f>SUMIF('RETURNEE DATASET'!B:B,A16,'RETURNEE DATASET'!K:K)</f>
        <v>6</v>
      </c>
      <c r="D16" s="13">
        <f>SUMIF('RETURNEE DATASET'!B:B,A16,'RETURNEE DATASET'!L:L)</f>
        <v>371</v>
      </c>
      <c r="E16" s="13">
        <f>SUMIF('RETURNEE DATASET'!B:B,A16,'RETURNEE DATASET'!M:M)</f>
        <v>289676</v>
      </c>
      <c r="F16" s="13">
        <f>SUMIF('RETURNEE DATASET'!B:B,A16,'RETURNEE DATASET'!N:N)</f>
        <v>8829</v>
      </c>
      <c r="G16" s="13">
        <f>SUMIF('RETURNEE DATASET'!B:B,A16,'RETURNEE DATASET'!O:O)</f>
        <v>62</v>
      </c>
      <c r="H16" s="13">
        <f>SUMIF('RETURNEE DATASET'!B:B,A16,'RETURNEE DATASET'!P:P)</f>
        <v>124</v>
      </c>
      <c r="I16" s="13">
        <f>SUMIF('RETURNEE DATASET'!B:B,A16,'RETURNEE DATASET'!Q:Q)</f>
        <v>10</v>
      </c>
      <c r="J16" s="13">
        <f>SUMIF('RETURNEE DATASET'!B:B,A16,'RETURNEE DATASET'!R:R)</f>
        <v>0</v>
      </c>
      <c r="K16" s="13">
        <f>SUMIF('RETURNEE DATASET'!B:B,A16,'RETURNEE DATASET'!S:S)</f>
        <v>0</v>
      </c>
      <c r="L16" s="13">
        <f>SUMIF('RETURNEE DATASET'!B:B,A16,'RETURNEE DATASET'!T:T)</f>
        <v>0</v>
      </c>
      <c r="M16" s="13">
        <f t="shared" si="2"/>
        <v>299938</v>
      </c>
      <c r="O16" s="25">
        <f t="shared" si="0"/>
        <v>0.33593333840651396</v>
      </c>
      <c r="P16" s="25">
        <f t="shared" si="1"/>
        <v>0.66406666159348604</v>
      </c>
      <c r="Q16" s="24"/>
      <c r="R16" s="26"/>
    </row>
    <row r="17" spans="1:20" x14ac:dyDescent="0.2">
      <c r="A17" s="27" t="s">
        <v>36</v>
      </c>
      <c r="B17" s="13">
        <f>SUMIF('RETURNEE DATASET'!B:B,A17,'RETURNEE DATASET'!J:J)</f>
        <v>1525</v>
      </c>
      <c r="C17" s="13">
        <f>SUMIF('RETURNEE DATASET'!B:B,A17,'RETURNEE DATASET'!K:K)</f>
        <v>0</v>
      </c>
      <c r="D17" s="13">
        <f>SUMIF('RETURNEE DATASET'!B:B,A17,'RETURNEE DATASET'!L:L)</f>
        <v>3701</v>
      </c>
      <c r="E17" s="13">
        <f>SUMIF('RETURNEE DATASET'!B:B,A17,'RETURNEE DATASET'!M:M)</f>
        <v>103326</v>
      </c>
      <c r="F17" s="13">
        <f>SUMIF('RETURNEE DATASET'!B:B,A17,'RETURNEE DATASET'!N:N)</f>
        <v>5490</v>
      </c>
      <c r="G17" s="13">
        <f>SUMIF('RETURNEE DATASET'!B:B,A17,'RETURNEE DATASET'!O:O)</f>
        <v>481</v>
      </c>
      <c r="H17" s="13">
        <f>SUMIF('RETURNEE DATASET'!B:B,A17,'RETURNEE DATASET'!P:P)</f>
        <v>291</v>
      </c>
      <c r="I17" s="13">
        <f>SUMIF('RETURNEE DATASET'!B:B,A17,'RETURNEE DATASET'!Q:Q)</f>
        <v>0</v>
      </c>
      <c r="J17" s="13">
        <f>SUMIF('RETURNEE DATASET'!B:B,A17,'RETURNEE DATASET'!R:R)</f>
        <v>6</v>
      </c>
      <c r="K17" s="13">
        <f>SUMIF('RETURNEE DATASET'!B:B,A17,'RETURNEE DATASET'!S:S)</f>
        <v>0</v>
      </c>
      <c r="L17" s="13">
        <f>SUMIF('RETURNEE DATASET'!B:B,A17,'RETURNEE DATASET'!T:T)</f>
        <v>0</v>
      </c>
      <c r="M17" s="13">
        <f t="shared" si="2"/>
        <v>114820</v>
      </c>
      <c r="O17" s="25">
        <f t="shared" si="0"/>
        <v>0.2088882124648048</v>
      </c>
      <c r="P17" s="25">
        <f t="shared" si="1"/>
        <v>0.79111178753519518</v>
      </c>
      <c r="Q17" s="24"/>
      <c r="R17" s="26"/>
    </row>
    <row r="18" spans="1:20" x14ac:dyDescent="0.2">
      <c r="A18" s="28" t="s">
        <v>37</v>
      </c>
      <c r="B18" s="29">
        <f t="shared" ref="B18:D18" si="3">SUM(B10:B17)</f>
        <v>2499</v>
      </c>
      <c r="C18" s="29">
        <f t="shared" si="3"/>
        <v>6</v>
      </c>
      <c r="D18" s="29">
        <f t="shared" si="3"/>
        <v>10192</v>
      </c>
      <c r="E18" s="29">
        <f>SUM(E10:E17)</f>
        <v>743926</v>
      </c>
      <c r="F18" s="29">
        <f>SUM(F10:F17)</f>
        <v>26282</v>
      </c>
      <c r="G18" s="29">
        <f t="shared" ref="G18:K18" si="4">SUM(G10:G17)</f>
        <v>575</v>
      </c>
      <c r="H18" s="29">
        <f t="shared" si="4"/>
        <v>415</v>
      </c>
      <c r="I18" s="29">
        <f t="shared" si="4"/>
        <v>10</v>
      </c>
      <c r="J18" s="29">
        <f t="shared" si="4"/>
        <v>6</v>
      </c>
      <c r="K18" s="29">
        <f t="shared" si="4"/>
        <v>286</v>
      </c>
      <c r="L18" s="29">
        <f>SUM(L10:L17)</f>
        <v>0</v>
      </c>
      <c r="M18" s="29">
        <f>SUM(M10:M17)</f>
        <v>784197</v>
      </c>
      <c r="O18" s="25">
        <f t="shared" si="0"/>
        <v>1</v>
      </c>
      <c r="P18" s="30"/>
      <c r="Q18" s="24"/>
      <c r="R18" s="31"/>
    </row>
    <row r="19" spans="1:20" s="32" customFormat="1" ht="18" customHeight="1" x14ac:dyDescent="0.2">
      <c r="N19" s="11"/>
      <c r="O19" s="11"/>
      <c r="P19" s="11"/>
      <c r="Q19" s="24"/>
    </row>
    <row r="20" spans="1:20" s="32" customFormat="1" ht="18" customHeight="1" x14ac:dyDescent="0.2">
      <c r="A20" s="85" t="s">
        <v>4025</v>
      </c>
    </row>
    <row r="21" spans="1:20" x14ac:dyDescent="0.2">
      <c r="A21" s="33" t="s">
        <v>16</v>
      </c>
      <c r="B21" s="115" t="s">
        <v>38</v>
      </c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7"/>
    </row>
    <row r="22" spans="1:20" s="17" customFormat="1" ht="25.5" customHeight="1" x14ac:dyDescent="0.25">
      <c r="A22" s="34" t="s">
        <v>17</v>
      </c>
      <c r="B22" s="10" t="s">
        <v>29</v>
      </c>
      <c r="C22" s="10" t="s">
        <v>39</v>
      </c>
      <c r="D22" s="10" t="s">
        <v>30</v>
      </c>
      <c r="E22" s="10" t="s">
        <v>40</v>
      </c>
      <c r="F22" s="10" t="s">
        <v>31</v>
      </c>
      <c r="G22" s="10" t="s">
        <v>32</v>
      </c>
      <c r="H22" s="10" t="s">
        <v>33</v>
      </c>
      <c r="I22" s="10" t="s">
        <v>41</v>
      </c>
      <c r="J22" s="10" t="s">
        <v>34</v>
      </c>
      <c r="K22" s="10" t="s">
        <v>42</v>
      </c>
      <c r="L22" s="10" t="s">
        <v>43</v>
      </c>
      <c r="M22" s="10" t="s">
        <v>44</v>
      </c>
      <c r="N22" s="10" t="s">
        <v>35</v>
      </c>
      <c r="O22" s="10" t="s">
        <v>45</v>
      </c>
      <c r="P22" s="10" t="s">
        <v>36</v>
      </c>
      <c r="Q22" s="10" t="s">
        <v>46</v>
      </c>
      <c r="R22" s="10" t="s">
        <v>47</v>
      </c>
      <c r="S22" s="10" t="s">
        <v>48</v>
      </c>
      <c r="T22" s="10" t="s">
        <v>28</v>
      </c>
    </row>
    <row r="23" spans="1:20" x14ac:dyDescent="0.2">
      <c r="A23" s="12" t="s">
        <v>29</v>
      </c>
      <c r="B23" s="35">
        <f>SUMIF('RETURNEE DATASET'!B:B,A23,'RETURNEE DATASET'!U:U)</f>
        <v>113840</v>
      </c>
      <c r="C23" s="35">
        <f>SUMIF('RETURNEE DATASET'!B:B,A23,'RETURNEE DATASET'!V:V)</f>
        <v>2573</v>
      </c>
      <c r="D23" s="35">
        <f>SUMIF('RETURNEE DATASET'!B:B,A23,'RETURNEE DATASET'!W:W)</f>
        <v>54663</v>
      </c>
      <c r="E23" s="35">
        <f>SUMIF('RETURNEE DATASET'!B:B,A23,'RETURNEE DATASET'!X:X)</f>
        <v>0</v>
      </c>
      <c r="F23" s="35">
        <f>SUMIF('RETURNEE DATASET'!B:B,A23,'RETURNEE DATASET'!Y:Y)</f>
        <v>318</v>
      </c>
      <c r="G23" s="35">
        <f>SUMIF('RETURNEE DATASET'!B:B,A23,'RETURNEE DATASET'!Z:Z)</f>
        <v>36</v>
      </c>
      <c r="H23" s="35">
        <f>SUMIF('RETURNEE DATASET'!B:B,A23,'RETURNEE DATASET'!AA:AA)</f>
        <v>37457</v>
      </c>
      <c r="I23" s="35">
        <f>SUMIF('RETURNEE DATASET'!B:B,A23,'RETURNEE DATASET'!AB:AB)</f>
        <v>104</v>
      </c>
      <c r="J23" s="35">
        <f>SUMIF('RETURNEE DATASET'!B:B,A23,'RETURNEE DATASET'!AC:AC)</f>
        <v>22965</v>
      </c>
      <c r="K23" s="35">
        <f>SUMIF('RETURNEE DATASET'!B:B,A23,'RETURNEE DATASET'!AD:AD)</f>
        <v>0</v>
      </c>
      <c r="L23" s="35">
        <f>SUMIF('RETURNEE DATASET'!B:B,A23,'RETURNEE DATASET'!AE:AE)</f>
        <v>0</v>
      </c>
      <c r="M23" s="35">
        <f>SUMIF('RETURNEE DATASET'!B:B,A23,'RETURNEE DATASET'!AF:AF)</f>
        <v>0</v>
      </c>
      <c r="N23" s="35">
        <f>SUMIF('RETURNEE DATASET'!B:B,A23,'RETURNEE DATASET'!AG:AG)</f>
        <v>7</v>
      </c>
      <c r="O23" s="35">
        <f>SUMIF('RETURNEE DATASET'!B:B,A23,'RETURNEE DATASET'!AH:AH)</f>
        <v>0</v>
      </c>
      <c r="P23" s="35">
        <f>SUMIF('RETURNEE DATASET'!B:B,A23,'RETURNEE DATASET'!AI:AI)</f>
        <v>683</v>
      </c>
      <c r="Q23" s="35">
        <f>SUMIF('RETURNEE DATASET'!B:B,A23,'RETURNEE DATASET'!AJ:AJ)</f>
        <v>17669</v>
      </c>
      <c r="R23" s="35">
        <f>SUMIF('RETURNEE DATASET'!B:B,A23,'RETURNEE DATASET'!AK:AK)</f>
        <v>0</v>
      </c>
      <c r="S23" s="35">
        <f>SUMIF('RETURNEE DATASET'!B:B,A23,'RETURNEE DATASET'!AL:AL)</f>
        <v>0</v>
      </c>
      <c r="T23" s="13">
        <f t="shared" ref="T23:T30" si="5">SUM(B23:S23)</f>
        <v>250315</v>
      </c>
    </row>
    <row r="24" spans="1:20" x14ac:dyDescent="0.2">
      <c r="A24" s="12" t="s">
        <v>30</v>
      </c>
      <c r="B24" s="35">
        <f>SUMIF('RETURNEE DATASET'!B:B,A24,'RETURNEE DATASET'!U:U)</f>
        <v>0</v>
      </c>
      <c r="C24" s="35">
        <f>SUMIF('RETURNEE DATASET'!B:B,A24,'RETURNEE DATASET'!V:V)</f>
        <v>638</v>
      </c>
      <c r="D24" s="35">
        <f>SUMIF('RETURNEE DATASET'!B:B,A24,'RETURNEE DATASET'!W:W)</f>
        <v>13499</v>
      </c>
      <c r="E24" s="35">
        <f>SUMIF('RETURNEE DATASET'!B:B,A24,'RETURNEE DATASET'!X:X)</f>
        <v>0</v>
      </c>
      <c r="F24" s="35">
        <f>SUMIF('RETURNEE DATASET'!B:B,A24,'RETURNEE DATASET'!Y:Y)</f>
        <v>0</v>
      </c>
      <c r="G24" s="35">
        <f>SUMIF('RETURNEE DATASET'!B:B,A24,'RETURNEE DATASET'!Z:Z)</f>
        <v>0</v>
      </c>
      <c r="H24" s="35">
        <f>SUMIF('RETURNEE DATASET'!B:B,A24,'RETURNEE DATASET'!AA:AA)</f>
        <v>713</v>
      </c>
      <c r="I24" s="35">
        <f>SUMIF('RETURNEE DATASET'!B:B,A24,'RETURNEE DATASET'!AB:AB)</f>
        <v>8</v>
      </c>
      <c r="J24" s="35">
        <f>SUMIF('RETURNEE DATASET'!B:B,A24,'RETURNEE DATASET'!AC:AC)</f>
        <v>0</v>
      </c>
      <c r="K24" s="35">
        <f>SUMIF('RETURNEE DATASET'!B:B,A24,'RETURNEE DATASET'!AD:AD)</f>
        <v>20</v>
      </c>
      <c r="L24" s="35">
        <f>SUMIF('RETURNEE DATASET'!B:B,A24,'RETURNEE DATASET'!AE:AE)</f>
        <v>0</v>
      </c>
      <c r="M24" s="35">
        <f>SUMIF('RETURNEE DATASET'!B:B,A24,'RETURNEE DATASET'!AF:AF)</f>
        <v>0</v>
      </c>
      <c r="N24" s="35">
        <f>SUMIF('RETURNEE DATASET'!B:B,A24,'RETURNEE DATASET'!AG:AG)</f>
        <v>0</v>
      </c>
      <c r="O24" s="35">
        <f>SUMIF('RETURNEE DATASET'!B:B,A24,'RETURNEE DATASET'!AH:AH)</f>
        <v>0</v>
      </c>
      <c r="P24" s="35">
        <f>SUMIF('RETURNEE DATASET'!B:B,A24,'RETURNEE DATASET'!AI:AI)</f>
        <v>0</v>
      </c>
      <c r="Q24" s="35">
        <f>SUMIF('RETURNEE DATASET'!B:B,A24,'RETURNEE DATASET'!AJ:AJ)</f>
        <v>160</v>
      </c>
      <c r="R24" s="35">
        <f>SUMIF('RETURNEE DATASET'!B:B,A24,'RETURNEE DATASET'!AK:AK)</f>
        <v>0</v>
      </c>
      <c r="S24" s="35">
        <f>SUMIF('RETURNEE DATASET'!B:B,A24,'RETURNEE DATASET'!AL:AL)</f>
        <v>0</v>
      </c>
      <c r="T24" s="13">
        <f t="shared" si="5"/>
        <v>15038</v>
      </c>
    </row>
    <row r="25" spans="1:20" x14ac:dyDescent="0.2">
      <c r="A25" s="12" t="s">
        <v>31</v>
      </c>
      <c r="B25" s="35">
        <f>SUMIF('RETURNEE DATASET'!B:B,A25,'RETURNEE DATASET'!U:U)</f>
        <v>0</v>
      </c>
      <c r="C25" s="35">
        <f>SUMIF('RETURNEE DATASET'!B:B,A25,'RETURNEE DATASET'!V:V)</f>
        <v>0</v>
      </c>
      <c r="D25" s="35">
        <f>SUMIF('RETURNEE DATASET'!B:B,A25,'RETURNEE DATASET'!W:W)</f>
        <v>0</v>
      </c>
      <c r="E25" s="35">
        <f>SUMIF('RETURNEE DATASET'!B:B,A25,'RETURNEE DATASET'!X:X)</f>
        <v>0</v>
      </c>
      <c r="F25" s="35">
        <f>SUMIF('RETURNEE DATASET'!B:B,A25,'RETURNEE DATASET'!Y:Y)</f>
        <v>128</v>
      </c>
      <c r="G25" s="35">
        <f>SUMIF('RETURNEE DATASET'!B:B,A25,'RETURNEE DATASET'!Z:Z)</f>
        <v>0</v>
      </c>
      <c r="H25" s="35">
        <f>SUMIF('RETURNEE DATASET'!B:B,A25,'RETURNEE DATASET'!AA:AA)</f>
        <v>0</v>
      </c>
      <c r="I25" s="35">
        <f>SUMIF('RETURNEE DATASET'!B:B,A25,'RETURNEE DATASET'!AB:AB)</f>
        <v>0</v>
      </c>
      <c r="J25" s="35">
        <f>SUMIF('RETURNEE DATASET'!B:B,A25,'RETURNEE DATASET'!AC:AC)</f>
        <v>0</v>
      </c>
      <c r="K25" s="35">
        <f>SUMIF('RETURNEE DATASET'!B:B,A25,'RETURNEE DATASET'!AD:AD)</f>
        <v>0</v>
      </c>
      <c r="L25" s="35">
        <f>SUMIF('RETURNEE DATASET'!B:B,A25,'RETURNEE DATASET'!AE:AE)</f>
        <v>0</v>
      </c>
      <c r="M25" s="35">
        <f>SUMIF('RETURNEE DATASET'!B:B,A25,'RETURNEE DATASET'!AF:AF)</f>
        <v>0</v>
      </c>
      <c r="N25" s="35">
        <f>SUMIF('RETURNEE DATASET'!B:B,A25,'RETURNEE DATASET'!AG:AG)</f>
        <v>0</v>
      </c>
      <c r="O25" s="35">
        <f>SUMIF('RETURNEE DATASET'!B:B,A25,'RETURNEE DATASET'!AH:AH)</f>
        <v>0</v>
      </c>
      <c r="P25" s="35">
        <f>SUMIF('RETURNEE DATASET'!B:B,A25,'RETURNEE DATASET'!AI:AI)</f>
        <v>0</v>
      </c>
      <c r="Q25" s="35">
        <f>SUMIF('RETURNEE DATASET'!B:B,A25,'RETURNEE DATASET'!AJ:AJ)</f>
        <v>0</v>
      </c>
      <c r="R25" s="35">
        <f>SUMIF('RETURNEE DATASET'!B:B,A25,'RETURNEE DATASET'!AK:AK)</f>
        <v>0</v>
      </c>
      <c r="S25" s="35">
        <f>SUMIF('RETURNEE DATASET'!B:B,A25,'RETURNEE DATASET'!AL:AL)</f>
        <v>0</v>
      </c>
      <c r="T25" s="13">
        <f t="shared" si="5"/>
        <v>128</v>
      </c>
    </row>
    <row r="26" spans="1:20" x14ac:dyDescent="0.2">
      <c r="A26" s="12" t="s">
        <v>32</v>
      </c>
      <c r="B26" s="13">
        <f>SUMIF('RETURNEE DATASET'!B:B,A26,'RETURNEE DATASET'!U:U)</f>
        <v>0</v>
      </c>
      <c r="C26" s="13">
        <f>SUMIF('RETURNEE DATASET'!B:B,A26,'RETURNEE DATASET'!V:V)</f>
        <v>0</v>
      </c>
      <c r="D26" s="13">
        <f>SUMIF('RETURNEE DATASET'!B:B,A26,'RETURNEE DATASET'!W:W)</f>
        <v>177</v>
      </c>
      <c r="E26" s="35">
        <f>SUMIF('RETURNEE DATASET'!B:B,A26,'RETURNEE DATASET'!X:X)</f>
        <v>0</v>
      </c>
      <c r="F26" s="13">
        <f>SUMIF('RETURNEE DATASET'!B:B,A26,'RETURNEE DATASET'!Y:Y)</f>
        <v>0</v>
      </c>
      <c r="G26" s="13">
        <f>SUMIF('RETURNEE DATASET'!B:B,A26,'RETURNEE DATASET'!Z:Z)</f>
        <v>30444</v>
      </c>
      <c r="H26" s="13">
        <f>SUMIF('RETURNEE DATASET'!B:B,A26,'RETURNEE DATASET'!AA:AA)</f>
        <v>73</v>
      </c>
      <c r="I26" s="13">
        <f>SUMIF('RETURNEE DATASET'!B:B,A26,'RETURNEE DATASET'!AB:AB)</f>
        <v>25</v>
      </c>
      <c r="J26" s="13">
        <f>SUMIF('RETURNEE DATASET'!B:B,A26,'RETURNEE DATASET'!AC:AC)</f>
        <v>4382</v>
      </c>
      <c r="K26" s="35">
        <f>SUMIF('RETURNEE DATASET'!B:B,A26,'RETURNEE DATASET'!AD:AD)</f>
        <v>0</v>
      </c>
      <c r="L26" s="35">
        <f>SUMIF('RETURNEE DATASET'!B:B,A26,'RETURNEE DATASET'!AE:AE)</f>
        <v>0</v>
      </c>
      <c r="M26" s="13">
        <f>SUMIF('RETURNEE DATASET'!B:B,A26,'RETURNEE DATASET'!AF:AF)</f>
        <v>0</v>
      </c>
      <c r="N26" s="13">
        <f>SUMIF('RETURNEE DATASET'!B:B,A26,'RETURNEE DATASET'!AG:AG)</f>
        <v>0</v>
      </c>
      <c r="O26" s="35">
        <f>SUMIF('RETURNEE DATASET'!B:B,A26,'RETURNEE DATASET'!AH:AH)</f>
        <v>0</v>
      </c>
      <c r="P26" s="13">
        <f>SUMIF('RETURNEE DATASET'!B:B,A26,'RETURNEE DATASET'!AI:AI)</f>
        <v>0</v>
      </c>
      <c r="Q26" s="13">
        <f>SUMIF('RETURNEE DATASET'!B:B,A26,'RETURNEE DATASET'!AJ:AJ)</f>
        <v>3268</v>
      </c>
      <c r="R26" s="35">
        <f>SUMIF('RETURNEE DATASET'!B:B,A26,'RETURNEE DATASET'!AK:AK)</f>
        <v>0</v>
      </c>
      <c r="S26" s="35">
        <f>SUMIF('RETURNEE DATASET'!B:B,A26,'RETURNEE DATASET'!AL:AL)</f>
        <v>0</v>
      </c>
      <c r="T26" s="13">
        <f t="shared" si="5"/>
        <v>38369</v>
      </c>
    </row>
    <row r="27" spans="1:20" x14ac:dyDescent="0.2">
      <c r="A27" s="12" t="s">
        <v>33</v>
      </c>
      <c r="B27" s="13">
        <f>SUMIF('RETURNEE DATASET'!B:B,A27,'RETURNEE DATASET'!U:U)</f>
        <v>0</v>
      </c>
      <c r="C27" s="13">
        <f>SUMIF('RETURNEE DATASET'!B:B,A27,'RETURNEE DATASET'!V:V)</f>
        <v>0</v>
      </c>
      <c r="D27" s="13">
        <f>SUMIF('RETURNEE DATASET'!B:B,A27,'RETURNEE DATASET'!W:W)</f>
        <v>0</v>
      </c>
      <c r="E27" s="35">
        <f>SUMIF('RETURNEE DATASET'!B:B,A27,'RETURNEE DATASET'!X:X)</f>
        <v>0</v>
      </c>
      <c r="F27" s="13">
        <f>SUMIF('RETURNEE DATASET'!B:B,A27,'RETURNEE DATASET'!Y:Y)</f>
        <v>0</v>
      </c>
      <c r="G27" s="13">
        <f>SUMIF('RETURNEE DATASET'!B:B,A27,'RETURNEE DATASET'!Z:Z)</f>
        <v>0</v>
      </c>
      <c r="H27" s="13">
        <f>SUMIF('RETURNEE DATASET'!B:B,A27,'RETURNEE DATASET'!AA:AA)</f>
        <v>6400</v>
      </c>
      <c r="I27" s="13">
        <f>SUMIF('RETURNEE DATASET'!B:B,A27,'RETURNEE DATASET'!AB:AB)</f>
        <v>0</v>
      </c>
      <c r="J27" s="13">
        <f>SUMIF('RETURNEE DATASET'!B:B,A27,'RETURNEE DATASET'!AC:AC)</f>
        <v>938</v>
      </c>
      <c r="K27" s="35">
        <f>SUMIF('RETURNEE DATASET'!B:B,A27,'RETURNEE DATASET'!AD:AD)</f>
        <v>0</v>
      </c>
      <c r="L27" s="35">
        <f>SUMIF('RETURNEE DATASET'!B:B,A27,'RETURNEE DATASET'!AE:AE)</f>
        <v>0</v>
      </c>
      <c r="M27" s="13">
        <f>SUMIF('RETURNEE DATASET'!B:B,A27,'RETURNEE DATASET'!AF:AF)</f>
        <v>0</v>
      </c>
      <c r="N27" s="13">
        <f>SUMIF('RETURNEE DATASET'!B:B,A27,'RETURNEE DATASET'!AG:AG)</f>
        <v>1376</v>
      </c>
      <c r="O27" s="35">
        <f>SUMIF('RETURNEE DATASET'!B:B,A27,'RETURNEE DATASET'!AH:AH)</f>
        <v>0</v>
      </c>
      <c r="P27" s="13">
        <f>SUMIF('RETURNEE DATASET'!B:B,A27,'RETURNEE DATASET'!AI:AI)</f>
        <v>99</v>
      </c>
      <c r="Q27" s="13">
        <f>SUMIF('RETURNEE DATASET'!B:B,A27,'RETURNEE DATASET'!AJ:AJ)</f>
        <v>0</v>
      </c>
      <c r="R27" s="35">
        <f>SUMIF('RETURNEE DATASET'!B:B,A27,'RETURNEE DATASET'!AK:AK)</f>
        <v>0</v>
      </c>
      <c r="S27" s="35">
        <f>SUMIF('RETURNEE DATASET'!B:B,A27,'RETURNEE DATASET'!AL:AL)</f>
        <v>0</v>
      </c>
      <c r="T27" s="13">
        <f t="shared" si="5"/>
        <v>8813</v>
      </c>
    </row>
    <row r="28" spans="1:20" x14ac:dyDescent="0.2">
      <c r="A28" s="12" t="s">
        <v>34</v>
      </c>
      <c r="B28" s="13">
        <f>SUMIF('RETURNEE DATASET'!B:B,A28,'RETURNEE DATASET'!U:U)</f>
        <v>0</v>
      </c>
      <c r="C28" s="13">
        <f>SUMIF('RETURNEE DATASET'!B:B,A28,'RETURNEE DATASET'!V:V)</f>
        <v>3</v>
      </c>
      <c r="D28" s="13">
        <f>SUMIF('RETURNEE DATASET'!B:B,A28,'RETURNEE DATASET'!W:W)</f>
        <v>44</v>
      </c>
      <c r="E28" s="35">
        <f>SUMIF('RETURNEE DATASET'!B:B,A28,'RETURNEE DATASET'!X:X)</f>
        <v>0</v>
      </c>
      <c r="F28" s="13">
        <f>SUMIF('RETURNEE DATASET'!B:B,A28,'RETURNEE DATASET'!Y:Y)</f>
        <v>0</v>
      </c>
      <c r="G28" s="13">
        <f>SUMIF('RETURNEE DATASET'!B:B,A28,'RETURNEE DATASET'!Z:Z)</f>
        <v>0</v>
      </c>
      <c r="H28" s="13">
        <f>SUMIF('RETURNEE DATASET'!B:B,A28,'RETURNEE DATASET'!AA:AA)</f>
        <v>3411</v>
      </c>
      <c r="I28" s="13">
        <f>SUMIF('RETURNEE DATASET'!B:B,A28,'RETURNEE DATASET'!AB:AB)</f>
        <v>0</v>
      </c>
      <c r="J28" s="13">
        <f>SUMIF('RETURNEE DATASET'!B:B,A28,'RETURNEE DATASET'!AC:AC)</f>
        <v>24680</v>
      </c>
      <c r="K28" s="35">
        <f>SUMIF('RETURNEE DATASET'!B:B,A28,'RETURNEE DATASET'!AD:AD)</f>
        <v>0</v>
      </c>
      <c r="L28" s="35">
        <f>SUMIF('RETURNEE DATASET'!B:B,A28,'RETURNEE DATASET'!AE:AE)</f>
        <v>0</v>
      </c>
      <c r="M28" s="13">
        <f>SUMIF('RETURNEE DATASET'!B:B,A28,'RETURNEE DATASET'!AF:AF)</f>
        <v>0</v>
      </c>
      <c r="N28" s="13">
        <f>SUMIF('RETURNEE DATASET'!B:B,A28,'RETURNEE DATASET'!AG:AG)</f>
        <v>672</v>
      </c>
      <c r="O28" s="35">
        <f>SUMIF('RETURNEE DATASET'!B:B,A28,'RETURNEE DATASET'!AH:AH)</f>
        <v>0</v>
      </c>
      <c r="P28" s="13">
        <f>SUMIF('RETURNEE DATASET'!B:B,A28,'RETURNEE DATASET'!AI:AI)</f>
        <v>4927</v>
      </c>
      <c r="Q28" s="13">
        <f>SUMIF('RETURNEE DATASET'!B:B,A28,'RETURNEE DATASET'!AJ:AJ)</f>
        <v>23039</v>
      </c>
      <c r="R28" s="35">
        <f>SUMIF('RETURNEE DATASET'!B:B,A28,'RETURNEE DATASET'!AK:AK)</f>
        <v>0</v>
      </c>
      <c r="S28" s="35">
        <f>SUMIF('RETURNEE DATASET'!B:B,A28,'RETURNEE DATASET'!AL:AL)</f>
        <v>0</v>
      </c>
      <c r="T28" s="13">
        <f t="shared" si="5"/>
        <v>56776</v>
      </c>
    </row>
    <row r="29" spans="1:20" x14ac:dyDescent="0.2">
      <c r="A29" s="12" t="s">
        <v>35</v>
      </c>
      <c r="B29" s="13">
        <f>SUMIF('RETURNEE DATASET'!B:B,A29,'RETURNEE DATASET'!U:U)</f>
        <v>34</v>
      </c>
      <c r="C29" s="13">
        <f>SUMIF('RETURNEE DATASET'!B:B,A29,'RETURNEE DATASET'!V:V)</f>
        <v>3146</v>
      </c>
      <c r="D29" s="13">
        <f>SUMIF('RETURNEE DATASET'!B:B,A29,'RETURNEE DATASET'!W:W)</f>
        <v>6437</v>
      </c>
      <c r="E29" s="35">
        <f>SUMIF('RETURNEE DATASET'!B:B,A29,'RETURNEE DATASET'!X:X)</f>
        <v>633</v>
      </c>
      <c r="F29" s="13">
        <f>SUMIF('RETURNEE DATASET'!B:B,A29,'RETURNEE DATASET'!Y:Y)</f>
        <v>24624</v>
      </c>
      <c r="G29" s="13">
        <f>SUMIF('RETURNEE DATASET'!B:B,A29,'RETURNEE DATASET'!Z:Z)</f>
        <v>48</v>
      </c>
      <c r="H29" s="13">
        <f>SUMIF('RETURNEE DATASET'!B:B,A29,'RETURNEE DATASET'!AA:AA)</f>
        <v>29083</v>
      </c>
      <c r="I29" s="13">
        <f>SUMIF('RETURNEE DATASET'!B:B,A29,'RETURNEE DATASET'!AB:AB)</f>
        <v>7546</v>
      </c>
      <c r="J29" s="13">
        <f>SUMIF('RETURNEE DATASET'!B:B,A29,'RETURNEE DATASET'!AC:AC)</f>
        <v>2785</v>
      </c>
      <c r="K29" s="35">
        <f>SUMIF('RETURNEE DATASET'!B:B,A29,'RETURNEE DATASET'!AD:AD)</f>
        <v>336</v>
      </c>
      <c r="L29" s="35">
        <f>SUMIF('RETURNEE DATASET'!B:B,A29,'RETURNEE DATASET'!AE:AE)</f>
        <v>380</v>
      </c>
      <c r="M29" s="13">
        <f>SUMIF('RETURNEE DATASET'!B:B,A29,'RETURNEE DATASET'!AF:AF)</f>
        <v>11431</v>
      </c>
      <c r="N29" s="13">
        <f>SUMIF('RETURNEE DATASET'!B:B,A29,'RETURNEE DATASET'!AG:AG)</f>
        <v>206725</v>
      </c>
      <c r="O29" s="35">
        <f>SUMIF('RETURNEE DATASET'!B:B,A29,'RETURNEE DATASET'!AH:AH)</f>
        <v>930</v>
      </c>
      <c r="P29" s="13">
        <f>SUMIF('RETURNEE DATASET'!B:B,A29,'RETURNEE DATASET'!AI:AI)</f>
        <v>970</v>
      </c>
      <c r="Q29" s="13">
        <f>SUMIF('RETURNEE DATASET'!B:B,A29,'RETURNEE DATASET'!AJ:AJ)</f>
        <v>1624</v>
      </c>
      <c r="R29" s="35">
        <f>SUMIF('RETURNEE DATASET'!B:B,A29,'RETURNEE DATASET'!AK:AK)</f>
        <v>603</v>
      </c>
      <c r="S29" s="35">
        <f>SUMIF('RETURNEE DATASET'!B:B,A29,'RETURNEE DATASET'!AL:AL)</f>
        <v>2603</v>
      </c>
      <c r="T29" s="13">
        <f t="shared" si="5"/>
        <v>299938</v>
      </c>
    </row>
    <row r="30" spans="1:20" x14ac:dyDescent="0.2">
      <c r="A30" s="12" t="s">
        <v>36</v>
      </c>
      <c r="B30" s="13">
        <f>SUMIF('RETURNEE DATASET'!B:B,A30,'RETURNEE DATASET'!U:U)</f>
        <v>0</v>
      </c>
      <c r="C30" s="13">
        <f>SUMIF('RETURNEE DATASET'!B:B,A30,'RETURNEE DATASET'!V:V)</f>
        <v>15</v>
      </c>
      <c r="D30" s="13">
        <f>SUMIF('RETURNEE DATASET'!B:B,A30,'RETURNEE DATASET'!W:W)</f>
        <v>5033</v>
      </c>
      <c r="E30" s="35">
        <f>SUMIF('RETURNEE DATASET'!B:B,A30,'RETURNEE DATASET'!X:X)</f>
        <v>276</v>
      </c>
      <c r="F30" s="13">
        <f>SUMIF('RETURNEE DATASET'!B:B,A30,'RETURNEE DATASET'!Y:Y)</f>
        <v>413</v>
      </c>
      <c r="G30" s="13">
        <f>SUMIF('RETURNEE DATASET'!B:B,A30,'RETURNEE DATASET'!Z:Z)</f>
        <v>89</v>
      </c>
      <c r="H30" s="13">
        <f>SUMIF('RETURNEE DATASET'!B:B,A30,'RETURNEE DATASET'!AA:AA)</f>
        <v>17438</v>
      </c>
      <c r="I30" s="13">
        <f>SUMIF('RETURNEE DATASET'!B:B,A30,'RETURNEE DATASET'!AB:AB)</f>
        <v>272</v>
      </c>
      <c r="J30" s="13">
        <f>SUMIF('RETURNEE DATASET'!B:B,A30,'RETURNEE DATASET'!AC:AC)</f>
        <v>28395</v>
      </c>
      <c r="K30" s="35">
        <f>SUMIF('RETURNEE DATASET'!B:B,A30,'RETURNEE DATASET'!AD:AD)</f>
        <v>30</v>
      </c>
      <c r="L30" s="35">
        <f>SUMIF('RETURNEE DATASET'!B:B,A30,'RETURNEE DATASET'!AE:AE)</f>
        <v>0</v>
      </c>
      <c r="M30" s="13">
        <f>SUMIF('RETURNEE DATASET'!B:B,A30,'RETURNEE DATASET'!AF:AF)</f>
        <v>160</v>
      </c>
      <c r="N30" s="13">
        <f>SUMIF('RETURNEE DATASET'!B:B,A30,'RETURNEE DATASET'!AG:AG)</f>
        <v>3069</v>
      </c>
      <c r="O30" s="35">
        <f>SUMIF('RETURNEE DATASET'!B:B,A30,'RETURNEE DATASET'!AH:AH)</f>
        <v>0</v>
      </c>
      <c r="P30" s="13">
        <f>SUMIF('RETURNEE DATASET'!B:B,A30,'RETURNEE DATASET'!AI:AI)</f>
        <v>54057</v>
      </c>
      <c r="Q30" s="13">
        <f>SUMIF('RETURNEE DATASET'!B:B,A30,'RETURNEE DATASET'!AJ:AJ)</f>
        <v>5551</v>
      </c>
      <c r="R30" s="35">
        <f>SUMIF('RETURNEE DATASET'!B:B,A30,'RETURNEE DATASET'!AK:AK)</f>
        <v>20</v>
      </c>
      <c r="S30" s="35">
        <f>SUMIF('RETURNEE DATASET'!B:B,A30,'RETURNEE DATASET'!AL:AL)</f>
        <v>2</v>
      </c>
      <c r="T30" s="13">
        <f t="shared" si="5"/>
        <v>114820</v>
      </c>
    </row>
    <row r="31" spans="1:20" x14ac:dyDescent="0.2">
      <c r="A31" s="36" t="s">
        <v>37</v>
      </c>
      <c r="B31" s="37">
        <f>SUM(B23:B30)</f>
        <v>113874</v>
      </c>
      <c r="C31" s="37">
        <f t="shared" ref="C31:T31" si="6">SUM(C23:C30)</f>
        <v>6375</v>
      </c>
      <c r="D31" s="37">
        <f t="shared" si="6"/>
        <v>79853</v>
      </c>
      <c r="E31" s="37">
        <f t="shared" si="6"/>
        <v>909</v>
      </c>
      <c r="F31" s="37">
        <f t="shared" si="6"/>
        <v>25483</v>
      </c>
      <c r="G31" s="37">
        <f t="shared" si="6"/>
        <v>30617</v>
      </c>
      <c r="H31" s="37">
        <f t="shared" si="6"/>
        <v>94575</v>
      </c>
      <c r="I31" s="37">
        <f t="shared" si="6"/>
        <v>7955</v>
      </c>
      <c r="J31" s="37">
        <f t="shared" si="6"/>
        <v>84145</v>
      </c>
      <c r="K31" s="37">
        <f t="shared" si="6"/>
        <v>386</v>
      </c>
      <c r="L31" s="37">
        <f>SUM(L23:L30)</f>
        <v>380</v>
      </c>
      <c r="M31" s="37">
        <f t="shared" si="6"/>
        <v>11591</v>
      </c>
      <c r="N31" s="37">
        <f t="shared" si="6"/>
        <v>211849</v>
      </c>
      <c r="O31" s="37">
        <f t="shared" si="6"/>
        <v>930</v>
      </c>
      <c r="P31" s="37">
        <f t="shared" si="6"/>
        <v>60736</v>
      </c>
      <c r="Q31" s="37">
        <f t="shared" si="6"/>
        <v>51311</v>
      </c>
      <c r="R31" s="37">
        <f t="shared" si="6"/>
        <v>623</v>
      </c>
      <c r="S31" s="37">
        <f t="shared" si="6"/>
        <v>2605</v>
      </c>
      <c r="T31" s="37">
        <f t="shared" si="6"/>
        <v>784197</v>
      </c>
    </row>
    <row r="32" spans="1:20" x14ac:dyDescent="0.2">
      <c r="A32" s="38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</row>
    <row r="33" spans="1:20" ht="18" customHeight="1" x14ac:dyDescent="0.2">
      <c r="A33" s="85" t="s">
        <v>4026</v>
      </c>
      <c r="M33" s="32"/>
      <c r="N33" s="32"/>
      <c r="O33" s="32"/>
      <c r="P33" s="32"/>
      <c r="Q33" s="32"/>
      <c r="R33" s="32"/>
      <c r="S33" s="32"/>
    </row>
    <row r="34" spans="1:20" ht="15" customHeight="1" x14ac:dyDescent="0.2">
      <c r="A34" s="33" t="s">
        <v>16</v>
      </c>
      <c r="B34" s="124" t="s">
        <v>4</v>
      </c>
      <c r="C34" s="125"/>
      <c r="D34" s="125"/>
      <c r="E34" s="125"/>
      <c r="F34" s="125"/>
      <c r="G34" s="125"/>
      <c r="H34" s="125"/>
      <c r="I34" s="125"/>
      <c r="J34" s="125"/>
      <c r="M34" s="32"/>
      <c r="N34" s="32"/>
      <c r="O34" s="32"/>
      <c r="P34" s="32"/>
      <c r="Q34" s="32"/>
      <c r="R34" s="32"/>
      <c r="S34" s="32"/>
    </row>
    <row r="35" spans="1:20" s="17" customFormat="1" ht="25.5" customHeight="1" x14ac:dyDescent="0.25">
      <c r="A35" s="34" t="s">
        <v>17</v>
      </c>
      <c r="B35" s="10" t="s">
        <v>49</v>
      </c>
      <c r="C35" s="10" t="s">
        <v>50</v>
      </c>
      <c r="D35" s="39">
        <v>43326</v>
      </c>
      <c r="E35" s="10" t="s">
        <v>51</v>
      </c>
      <c r="F35" s="10" t="s">
        <v>52</v>
      </c>
      <c r="G35" s="10" t="s">
        <v>53</v>
      </c>
      <c r="H35" s="10" t="s">
        <v>54</v>
      </c>
      <c r="I35" s="40" t="s">
        <v>55</v>
      </c>
      <c r="J35" s="40" t="s">
        <v>56</v>
      </c>
      <c r="K35" s="40" t="s">
        <v>57</v>
      </c>
      <c r="L35" s="10" t="s">
        <v>28</v>
      </c>
      <c r="N35" s="79"/>
      <c r="O35" s="79"/>
      <c r="P35" s="79"/>
      <c r="Q35" s="79"/>
      <c r="R35" s="79"/>
      <c r="T35" s="79"/>
    </row>
    <row r="36" spans="1:20" x14ac:dyDescent="0.2">
      <c r="A36" s="12" t="s">
        <v>29</v>
      </c>
      <c r="B36" s="35">
        <f>SUMIF('RETURNEE DATASET'!B:B,A36,'RETURNEE DATASET'!AM:AM)</f>
        <v>76126</v>
      </c>
      <c r="C36" s="35">
        <f>SUMIF('RETURNEE DATASET'!B:B,A36,'RETURNEE DATASET'!AN:AN)</f>
        <v>25392</v>
      </c>
      <c r="D36" s="35">
        <f>SUMIF('RETURNEE DATASET'!B:B,A36,'RETURNEE DATASET'!AO:AO)</f>
        <v>0</v>
      </c>
      <c r="E36" s="35">
        <f>SUMIF('RETURNEE DATASET'!B:B,A36,'RETURNEE DATASET'!AP:AP)</f>
        <v>43602</v>
      </c>
      <c r="F36" s="35">
        <f>SUMIF('RETURNEE DATASET'!B:B,A36,'RETURNEE DATASET'!AQ:AQ)</f>
        <v>57767</v>
      </c>
      <c r="G36" s="35">
        <f>SUMIF('RETURNEE DATASET'!B:B,A36,'RETURNEE DATASET'!AR:AR)</f>
        <v>30531</v>
      </c>
      <c r="H36" s="35">
        <f>SUMIF('RETURNEE DATASET'!B:B,A36,'RETURNEE DATASET'!AS:AS)</f>
        <v>6186</v>
      </c>
      <c r="I36" s="35">
        <f>SUMIF('RETURNEE DATASET'!B:B,A36,'RETURNEE DATASET'!AT:AT)</f>
        <v>10591</v>
      </c>
      <c r="J36" s="35">
        <f>SUMIF('RETURNEE DATASET'!B:B,A36,'RETURNEE DATASET'!AU:AU)</f>
        <v>120</v>
      </c>
      <c r="K36" s="35">
        <f>SUMIF('RETURNEE DATASET'!B:B,A36,'RETURNEE DATASET'!AV:AV)</f>
        <v>0</v>
      </c>
      <c r="L36" s="13">
        <f>SUM(B36:K36)</f>
        <v>250315</v>
      </c>
      <c r="N36" s="32"/>
      <c r="O36" s="32"/>
      <c r="P36" s="32"/>
      <c r="Q36" s="32"/>
      <c r="R36" s="32"/>
      <c r="T36" s="32"/>
    </row>
    <row r="37" spans="1:20" x14ac:dyDescent="0.2">
      <c r="A37" s="12" t="s">
        <v>30</v>
      </c>
      <c r="B37" s="35">
        <f>SUMIF('RETURNEE DATASET'!B:B,A37,'RETURNEE DATASET'!AM:AM)</f>
        <v>2537</v>
      </c>
      <c r="C37" s="35">
        <f>SUMIF('RETURNEE DATASET'!B:B,A37,'RETURNEE DATASET'!AN:AN)</f>
        <v>78</v>
      </c>
      <c r="D37" s="35">
        <f>SUMIF('RETURNEE DATASET'!B:B,A37,'RETURNEE DATASET'!AO:AO)</f>
        <v>2682</v>
      </c>
      <c r="E37" s="35">
        <f>SUMIF('RETURNEE DATASET'!B:B,A37,'RETURNEE DATASET'!AP:AP)</f>
        <v>9625</v>
      </c>
      <c r="F37" s="35">
        <f>SUMIF('RETURNEE DATASET'!B:B,A37,'RETURNEE DATASET'!AQ:AQ)</f>
        <v>0</v>
      </c>
      <c r="G37" s="35">
        <f>SUMIF('RETURNEE DATASET'!B:B,A37,'RETURNEE DATASET'!AR:AR)</f>
        <v>116</v>
      </c>
      <c r="H37" s="35">
        <f>SUMIF('RETURNEE DATASET'!B:B,A37,'RETURNEE DATASET'!AS:AS)</f>
        <v>0</v>
      </c>
      <c r="I37" s="35">
        <f>SUMIF('RETURNEE DATASET'!B:B,A37,'RETURNEE DATASET'!AT:AT)</f>
        <v>0</v>
      </c>
      <c r="J37" s="35">
        <f>SUMIF('RETURNEE DATASET'!B:B,A37,'RETURNEE DATASET'!AU:AU)</f>
        <v>0</v>
      </c>
      <c r="K37" s="35">
        <f>SUMIF('RETURNEE DATASET'!B:B,A37,'RETURNEE DATASET'!AV:AV)</f>
        <v>0</v>
      </c>
      <c r="L37" s="13">
        <f t="shared" ref="L37:L43" si="7">SUM(B37:K37)</f>
        <v>15038</v>
      </c>
      <c r="N37" s="32"/>
      <c r="O37" s="32"/>
      <c r="P37" s="32"/>
      <c r="Q37" s="32"/>
      <c r="R37" s="32"/>
      <c r="T37" s="32"/>
    </row>
    <row r="38" spans="1:20" x14ac:dyDescent="0.2">
      <c r="A38" s="12" t="s">
        <v>31</v>
      </c>
      <c r="B38" s="35">
        <f>SUMIF('RETURNEE DATASET'!B:B,A38,'RETURNEE DATASET'!AM:AM)</f>
        <v>0</v>
      </c>
      <c r="C38" s="35">
        <f>SUMIF('RETURNEE DATASET'!B:B,A38,'RETURNEE DATASET'!AN:AN)</f>
        <v>0</v>
      </c>
      <c r="D38" s="35">
        <f>SUMIF('RETURNEE DATASET'!B:B,A38,'RETURNEE DATASET'!AO:AO)</f>
        <v>0</v>
      </c>
      <c r="E38" s="35">
        <f>SUMIF('RETURNEE DATASET'!B:B,A38,'RETURNEE DATASET'!AP:AP)</f>
        <v>0</v>
      </c>
      <c r="F38" s="35">
        <f>SUMIF('RETURNEE DATASET'!B:B,A38,'RETURNEE DATASET'!AQ:AQ)</f>
        <v>0</v>
      </c>
      <c r="G38" s="35">
        <f>SUMIF('RETURNEE DATASET'!B:B,A38,'RETURNEE DATASET'!AR:AR)</f>
        <v>0</v>
      </c>
      <c r="H38" s="35">
        <f>SUMIF('RETURNEE DATASET'!B:B,A38,'RETURNEE DATASET'!AS:AS)</f>
        <v>0</v>
      </c>
      <c r="I38" s="35">
        <f>SUMIF('RETURNEE DATASET'!B:B,A38,'RETURNEE DATASET'!AT:AT)</f>
        <v>128</v>
      </c>
      <c r="J38" s="35">
        <f>SUMIF('RETURNEE DATASET'!B:B,A38,'RETURNEE DATASET'!AU:AU)</f>
        <v>0</v>
      </c>
      <c r="K38" s="35">
        <f>SUMIF('RETURNEE DATASET'!B:B,A38,'RETURNEE DATASET'!AV:AV)</f>
        <v>0</v>
      </c>
      <c r="L38" s="13">
        <f t="shared" si="7"/>
        <v>128</v>
      </c>
      <c r="N38" s="32"/>
      <c r="O38" s="32"/>
      <c r="P38" s="32"/>
      <c r="Q38" s="32"/>
      <c r="R38" s="32"/>
      <c r="T38" s="32"/>
    </row>
    <row r="39" spans="1:20" x14ac:dyDescent="0.2">
      <c r="A39" s="12" t="s">
        <v>32</v>
      </c>
      <c r="B39" s="13">
        <f>SUMIF('RETURNEE DATASET'!B:B,A39,'RETURNEE DATASET'!AM:AM)</f>
        <v>0</v>
      </c>
      <c r="C39" s="13">
        <f>SUMIF('RETURNEE DATASET'!B:B,A39,'RETURNEE DATASET'!AN:AN)</f>
        <v>19404</v>
      </c>
      <c r="D39" s="13">
        <f>SUMIF('RETURNEE DATASET'!B:B,A39,'RETURNEE DATASET'!AO:AO)</f>
        <v>7566</v>
      </c>
      <c r="E39" s="13">
        <f>SUMIF('RETURNEE DATASET'!B:B,A39,'RETURNEE DATASET'!AP:AP)</f>
        <v>11116</v>
      </c>
      <c r="F39" s="13">
        <f>SUMIF('RETURNEE DATASET'!B:B,A39,'RETURNEE DATASET'!AQ:AQ)</f>
        <v>0</v>
      </c>
      <c r="G39" s="35">
        <f>SUMIF('RETURNEE DATASET'!B:B,A39,'RETURNEE DATASET'!AR:AR)</f>
        <v>0</v>
      </c>
      <c r="H39" s="35">
        <f>SUMIF('RETURNEE DATASET'!B:B,A39,'RETURNEE DATASET'!AS:AS)</f>
        <v>0</v>
      </c>
      <c r="I39" s="35">
        <f>SUMIF('RETURNEE DATASET'!B:B,A39,'RETURNEE DATASET'!AT:AT)</f>
        <v>100</v>
      </c>
      <c r="J39" s="35">
        <f>SUMIF('RETURNEE DATASET'!B:B,A39,'RETURNEE DATASET'!AU:AU)</f>
        <v>183</v>
      </c>
      <c r="K39" s="35">
        <f>SUMIF('RETURNEE DATASET'!B:B,A39,'RETURNEE DATASET'!AV:AV)</f>
        <v>0</v>
      </c>
      <c r="L39" s="13">
        <f t="shared" si="7"/>
        <v>38369</v>
      </c>
      <c r="N39" s="32"/>
      <c r="O39" s="32"/>
      <c r="P39" s="32"/>
      <c r="Q39" s="32"/>
      <c r="R39" s="32"/>
      <c r="T39" s="32"/>
    </row>
    <row r="40" spans="1:20" x14ac:dyDescent="0.2">
      <c r="A40" s="12" t="s">
        <v>33</v>
      </c>
      <c r="B40" s="13">
        <f>SUMIF('RETURNEE DATASET'!B:B,A40,'RETURNEE DATASET'!AM:AM)</f>
        <v>0</v>
      </c>
      <c r="C40" s="13">
        <f>SUMIF('RETURNEE DATASET'!B:B,A40,'RETURNEE DATASET'!AN:AN)</f>
        <v>274</v>
      </c>
      <c r="D40" s="13">
        <f>SUMIF('RETURNEE DATASET'!B:B,A40,'RETURNEE DATASET'!AO:AO)</f>
        <v>3581</v>
      </c>
      <c r="E40" s="13">
        <f>SUMIF('RETURNEE DATASET'!B:B,A40,'RETURNEE DATASET'!AP:AP)</f>
        <v>930</v>
      </c>
      <c r="F40" s="13">
        <f>SUMIF('RETURNEE DATASET'!B:B,A40,'RETURNEE DATASET'!AQ:AQ)</f>
        <v>0</v>
      </c>
      <c r="G40" s="35">
        <f>SUMIF('RETURNEE DATASET'!B:B,A40,'RETURNEE DATASET'!AR:AR)</f>
        <v>0</v>
      </c>
      <c r="H40" s="35">
        <f>SUMIF('RETURNEE DATASET'!B:B,A40,'RETURNEE DATASET'!AS:AS)</f>
        <v>0</v>
      </c>
      <c r="I40" s="35">
        <f>SUMIF('RETURNEE DATASET'!B:B,A40,'RETURNEE DATASET'!AT:AT)</f>
        <v>4028</v>
      </c>
      <c r="J40" s="35">
        <f>SUMIF('RETURNEE DATASET'!B:B,A40,'RETURNEE DATASET'!AU:AU)</f>
        <v>0</v>
      </c>
      <c r="K40" s="35">
        <f>SUMIF('RETURNEE DATASET'!B:B,A40,'RETURNEE DATASET'!AV:AV)</f>
        <v>0</v>
      </c>
      <c r="L40" s="13">
        <f t="shared" si="7"/>
        <v>8813</v>
      </c>
      <c r="N40" s="32"/>
      <c r="O40" s="32"/>
      <c r="P40" s="32"/>
      <c r="Q40" s="32"/>
      <c r="R40" s="32"/>
      <c r="T40" s="32"/>
    </row>
    <row r="41" spans="1:20" x14ac:dyDescent="0.2">
      <c r="A41" s="12" t="s">
        <v>34</v>
      </c>
      <c r="B41" s="13">
        <f>SUMIF('RETURNEE DATASET'!B:B,A41,'RETURNEE DATASET'!AM:AM)</f>
        <v>13</v>
      </c>
      <c r="C41" s="13">
        <f>SUMIF('RETURNEE DATASET'!B:B,A41,'RETURNEE DATASET'!AN:AN)</f>
        <v>2302</v>
      </c>
      <c r="D41" s="13">
        <f>SUMIF('RETURNEE DATASET'!B:B,A41,'RETURNEE DATASET'!AO:AO)</f>
        <v>2268</v>
      </c>
      <c r="E41" s="13">
        <f>SUMIF('RETURNEE DATASET'!B:B,A41,'RETURNEE DATASET'!AP:AP)</f>
        <v>4834</v>
      </c>
      <c r="F41" s="13">
        <f>SUMIF('RETURNEE DATASET'!B:B,A41,'RETURNEE DATASET'!AQ:AQ)</f>
        <v>4531</v>
      </c>
      <c r="G41" s="35">
        <f>SUMIF('RETURNEE DATASET'!B:B,A41,'RETURNEE DATASET'!AR:AR)</f>
        <v>6134</v>
      </c>
      <c r="H41" s="35">
        <f>SUMIF('RETURNEE DATASET'!B:B,A41,'RETURNEE DATASET'!AS:AS)</f>
        <v>5855</v>
      </c>
      <c r="I41" s="35">
        <f>SUMIF('RETURNEE DATASET'!B:B,A41,'RETURNEE DATASET'!AT:AT)</f>
        <v>30839</v>
      </c>
      <c r="J41" s="35">
        <f>SUMIF('RETURNEE DATASET'!B:B,A41,'RETURNEE DATASET'!AU:AU)</f>
        <v>0</v>
      </c>
      <c r="K41" s="35">
        <f>SUMIF('RETURNEE DATASET'!B:B,A41,'RETURNEE DATASET'!AV:AV)</f>
        <v>0</v>
      </c>
      <c r="L41" s="13">
        <f t="shared" si="7"/>
        <v>56776</v>
      </c>
      <c r="N41" s="32"/>
      <c r="O41" s="32"/>
      <c r="P41" s="32"/>
      <c r="Q41" s="32"/>
      <c r="R41" s="32"/>
      <c r="T41" s="32"/>
    </row>
    <row r="42" spans="1:20" x14ac:dyDescent="0.2">
      <c r="A42" s="12" t="s">
        <v>35</v>
      </c>
      <c r="B42" s="13">
        <f>SUMIF('RETURNEE DATASET'!B:B,A42,'RETURNEE DATASET'!AM:AM)</f>
        <v>0</v>
      </c>
      <c r="C42" s="13">
        <f>SUMIF('RETURNEE DATASET'!B:B,A42,'RETURNEE DATASET'!AN:AN)</f>
        <v>27170</v>
      </c>
      <c r="D42" s="13">
        <f>SUMIF('RETURNEE DATASET'!B:B,A42,'RETURNEE DATASET'!AO:AO)</f>
        <v>97169</v>
      </c>
      <c r="E42" s="13">
        <f>SUMIF('RETURNEE DATASET'!B:B,A42,'RETURNEE DATASET'!AP:AP)</f>
        <v>5444</v>
      </c>
      <c r="F42" s="13">
        <f>SUMIF('RETURNEE DATASET'!B:B,A42,'RETURNEE DATASET'!AQ:AQ)</f>
        <v>1939</v>
      </c>
      <c r="G42" s="35">
        <f>SUMIF('RETURNEE DATASET'!B:B,A42,'RETURNEE DATASET'!AR:AR)</f>
        <v>8083</v>
      </c>
      <c r="H42" s="35">
        <f>SUMIF('RETURNEE DATASET'!B:B,A42,'RETURNEE DATASET'!AS:AS)</f>
        <v>148135</v>
      </c>
      <c r="I42" s="35">
        <f>SUMIF('RETURNEE DATASET'!B:B,A42,'RETURNEE DATASET'!AT:AT)</f>
        <v>11998</v>
      </c>
      <c r="J42" s="35">
        <f>SUMIF('RETURNEE DATASET'!B:B,A42,'RETURNEE DATASET'!AU:AU)</f>
        <v>0</v>
      </c>
      <c r="K42" s="35">
        <f>SUMIF('RETURNEE DATASET'!B:B,A42,'RETURNEE DATASET'!AV:AV)</f>
        <v>0</v>
      </c>
      <c r="L42" s="13">
        <f t="shared" si="7"/>
        <v>299938</v>
      </c>
      <c r="N42" s="32"/>
      <c r="O42" s="32"/>
      <c r="P42" s="32"/>
      <c r="Q42" s="32"/>
      <c r="R42" s="32"/>
      <c r="T42" s="32"/>
    </row>
    <row r="43" spans="1:20" x14ac:dyDescent="0.2">
      <c r="A43" s="12" t="s">
        <v>36</v>
      </c>
      <c r="B43" s="13">
        <f>SUMIF('RETURNEE DATASET'!B:B,A43,'RETURNEE DATASET'!AM:AM)</f>
        <v>4791</v>
      </c>
      <c r="C43" s="13">
        <f>SUMIF('RETURNEE DATASET'!B:B,A43,'RETURNEE DATASET'!AN:AN)</f>
        <v>46609</v>
      </c>
      <c r="D43" s="13">
        <f>SUMIF('RETURNEE DATASET'!B:B,A43,'RETURNEE DATASET'!AO:AO)</f>
        <v>25087</v>
      </c>
      <c r="E43" s="13">
        <f>SUMIF('RETURNEE DATASET'!B:B,A43,'RETURNEE DATASET'!AP:AP)</f>
        <v>16607</v>
      </c>
      <c r="F43" s="13">
        <f>SUMIF('RETURNEE DATASET'!B:B,A43,'RETURNEE DATASET'!AQ:AQ)</f>
        <v>5636</v>
      </c>
      <c r="G43" s="35">
        <f>SUMIF('RETURNEE DATASET'!B:B,A43,'RETURNEE DATASET'!AR:AR)</f>
        <v>7233</v>
      </c>
      <c r="H43" s="35">
        <f>SUMIF('RETURNEE DATASET'!B:B,A43,'RETURNEE DATASET'!AS:AS)</f>
        <v>3868</v>
      </c>
      <c r="I43" s="35">
        <f>SUMIF('RETURNEE DATASET'!B:B,A43,'RETURNEE DATASET'!AT:AT)</f>
        <v>4989</v>
      </c>
      <c r="J43" s="35">
        <f>SUMIF('RETURNEE DATASET'!B:B,A43,'RETURNEE DATASET'!AU:AU)</f>
        <v>0</v>
      </c>
      <c r="K43" s="35">
        <f>SUMIF('RETURNEE DATASET'!B:B,A43,'RETURNEE DATASET'!AV:AV)</f>
        <v>0</v>
      </c>
      <c r="L43" s="13">
        <f t="shared" si="7"/>
        <v>114820</v>
      </c>
      <c r="N43" s="32"/>
      <c r="O43" s="32"/>
      <c r="P43" s="32"/>
      <c r="Q43" s="32"/>
      <c r="R43" s="32"/>
      <c r="T43" s="32"/>
    </row>
    <row r="44" spans="1:20" x14ac:dyDescent="0.2">
      <c r="A44" s="36" t="s">
        <v>37</v>
      </c>
      <c r="B44" s="37">
        <f>SUM(B36:B43)</f>
        <v>83467</v>
      </c>
      <c r="C44" s="37">
        <f t="shared" ref="C44:G44" si="8">SUM(C36:C43)</f>
        <v>121229</v>
      </c>
      <c r="D44" s="37">
        <f t="shared" si="8"/>
        <v>138353</v>
      </c>
      <c r="E44" s="37">
        <f t="shared" si="8"/>
        <v>92158</v>
      </c>
      <c r="F44" s="37">
        <f t="shared" si="8"/>
        <v>69873</v>
      </c>
      <c r="G44" s="37">
        <f t="shared" si="8"/>
        <v>52097</v>
      </c>
      <c r="H44" s="37">
        <f>SUM(H36:H43)</f>
        <v>164044</v>
      </c>
      <c r="I44" s="37">
        <f>SUM(I36:I43)</f>
        <v>62673</v>
      </c>
      <c r="J44" s="37">
        <f>SUM(J36:J43)</f>
        <v>303</v>
      </c>
      <c r="K44" s="37">
        <f>SUM(K36:K43)</f>
        <v>0</v>
      </c>
      <c r="L44" s="37">
        <f>SUM(L36:L43)</f>
        <v>784197</v>
      </c>
      <c r="N44" s="32"/>
      <c r="O44" s="32"/>
      <c r="P44" s="32"/>
      <c r="Q44" s="32"/>
      <c r="R44" s="32"/>
      <c r="T44" s="32"/>
    </row>
    <row r="45" spans="1:20" x14ac:dyDescent="0.2">
      <c r="M45" s="32"/>
      <c r="N45" s="32"/>
      <c r="O45" s="32"/>
      <c r="P45" s="32"/>
      <c r="Q45" s="32"/>
      <c r="R45" s="32"/>
      <c r="S45" s="32"/>
    </row>
    <row r="46" spans="1:20" x14ac:dyDescent="0.2">
      <c r="M46" s="80"/>
      <c r="N46" s="80"/>
      <c r="O46" s="81"/>
      <c r="P46" s="81"/>
      <c r="Q46" s="82"/>
      <c r="R46" s="32"/>
      <c r="S46" s="32"/>
    </row>
    <row r="47" spans="1:20" x14ac:dyDescent="0.2">
      <c r="A47" s="84" t="s">
        <v>58</v>
      </c>
      <c r="M47" s="80"/>
      <c r="N47" s="80"/>
      <c r="O47" s="81"/>
      <c r="P47" s="81"/>
      <c r="Q47" s="82"/>
      <c r="R47" s="32"/>
      <c r="S47" s="32"/>
    </row>
    <row r="48" spans="1:20" ht="25.5" x14ac:dyDescent="0.2">
      <c r="A48" s="41" t="s">
        <v>59</v>
      </c>
      <c r="B48" s="10" t="s">
        <v>60</v>
      </c>
      <c r="C48" s="10" t="s">
        <v>61</v>
      </c>
      <c r="D48" s="10" t="s">
        <v>62</v>
      </c>
      <c r="E48" s="18" t="s">
        <v>63</v>
      </c>
      <c r="G48" s="32"/>
      <c r="H48" s="32"/>
      <c r="I48" s="32"/>
      <c r="M48" s="80"/>
      <c r="N48" s="80"/>
      <c r="O48" s="81"/>
      <c r="P48" s="81"/>
      <c r="Q48" s="82"/>
      <c r="R48" s="32"/>
      <c r="S48" s="32"/>
    </row>
    <row r="49" spans="1:18" x14ac:dyDescent="0.2">
      <c r="A49" s="42" t="s">
        <v>64</v>
      </c>
      <c r="B49" s="35">
        <f>SUM('RETURNEE DATASET'!AM:AM)</f>
        <v>83467</v>
      </c>
      <c r="C49" s="35">
        <f t="shared" ref="C49:C58" si="9">B49*6</f>
        <v>500802</v>
      </c>
      <c r="D49" s="1">
        <f t="shared" ref="D49:D59" si="10">C49/$C$59</f>
        <v>0.10643626537719476</v>
      </c>
      <c r="E49" s="19">
        <v>9</v>
      </c>
      <c r="G49" s="32"/>
      <c r="H49" s="32"/>
      <c r="I49" s="32"/>
      <c r="M49" s="76"/>
      <c r="N49" s="76"/>
      <c r="O49" s="77"/>
      <c r="P49" s="77"/>
      <c r="Q49" s="78"/>
      <c r="R49" s="19"/>
    </row>
    <row r="50" spans="1:18" x14ac:dyDescent="0.2">
      <c r="A50" s="43" t="s">
        <v>65</v>
      </c>
      <c r="B50" s="13">
        <f>SUM('RETURNEE DATASET'!AN:AN)</f>
        <v>121229</v>
      </c>
      <c r="C50" s="13">
        <f t="shared" si="9"/>
        <v>727374</v>
      </c>
      <c r="D50" s="2">
        <f t="shared" si="10"/>
        <v>0.15458998185404943</v>
      </c>
      <c r="E50" s="19">
        <v>8</v>
      </c>
      <c r="G50" s="32"/>
      <c r="H50" s="32"/>
      <c r="I50" s="32"/>
      <c r="M50" s="76"/>
      <c r="N50" s="76"/>
      <c r="O50" s="77"/>
      <c r="P50" s="77"/>
      <c r="Q50" s="78"/>
      <c r="R50" s="19"/>
    </row>
    <row r="51" spans="1:18" x14ac:dyDescent="0.2">
      <c r="A51" s="43" t="s">
        <v>66</v>
      </c>
      <c r="B51" s="13">
        <f>SUM('RETURNEE DATASET'!AO:AO)</f>
        <v>138353</v>
      </c>
      <c r="C51" s="13">
        <f t="shared" si="9"/>
        <v>830118</v>
      </c>
      <c r="D51" s="2">
        <f t="shared" si="10"/>
        <v>0.17642633164880764</v>
      </c>
      <c r="E51" s="19">
        <v>7</v>
      </c>
      <c r="G51" s="32"/>
      <c r="H51" s="32"/>
      <c r="I51" s="32"/>
      <c r="M51" s="76"/>
      <c r="N51" s="76"/>
      <c r="O51" s="77"/>
      <c r="P51" s="77"/>
      <c r="Q51" s="78"/>
      <c r="R51" s="19"/>
    </row>
    <row r="52" spans="1:18" x14ac:dyDescent="0.2">
      <c r="A52" s="43" t="s">
        <v>67</v>
      </c>
      <c r="B52" s="13">
        <f>SUM('RETURNEE DATASET'!AP:AP)</f>
        <v>92158</v>
      </c>
      <c r="C52" s="13">
        <f t="shared" si="9"/>
        <v>552948</v>
      </c>
      <c r="D52" s="2">
        <f t="shared" si="10"/>
        <v>0.11751893975620922</v>
      </c>
      <c r="E52" s="19">
        <v>6</v>
      </c>
      <c r="G52" s="32"/>
      <c r="H52" s="32"/>
      <c r="I52" s="32"/>
      <c r="M52" s="76"/>
      <c r="N52" s="76"/>
      <c r="O52" s="77"/>
      <c r="P52" s="77"/>
      <c r="Q52" s="78"/>
      <c r="R52" s="19"/>
    </row>
    <row r="53" spans="1:18" x14ac:dyDescent="0.2">
      <c r="A53" s="43" t="s">
        <v>68</v>
      </c>
      <c r="B53" s="13">
        <f>SUM('RETURNEE DATASET'!AQ:AQ)</f>
        <v>69873</v>
      </c>
      <c r="C53" s="13">
        <f t="shared" si="9"/>
        <v>419238</v>
      </c>
      <c r="D53" s="2">
        <f t="shared" si="10"/>
        <v>8.9101335506256721E-2</v>
      </c>
      <c r="E53" s="19">
        <v>5</v>
      </c>
      <c r="G53" s="32"/>
      <c r="H53" s="32"/>
      <c r="I53" s="32"/>
      <c r="M53" s="76"/>
      <c r="N53" s="76"/>
      <c r="O53" s="77"/>
      <c r="P53" s="77"/>
      <c r="Q53" s="78"/>
      <c r="R53" s="19"/>
    </row>
    <row r="54" spans="1:18" x14ac:dyDescent="0.2">
      <c r="A54" s="43" t="s">
        <v>69</v>
      </c>
      <c r="B54" s="13">
        <f>SUM('RETURNEE DATASET'!AR:AR)</f>
        <v>52097</v>
      </c>
      <c r="C54" s="13">
        <f t="shared" si="9"/>
        <v>312582</v>
      </c>
      <c r="D54" s="2">
        <f t="shared" si="10"/>
        <v>6.6433561974860902E-2</v>
      </c>
      <c r="E54" s="19">
        <v>4</v>
      </c>
      <c r="G54" s="32"/>
      <c r="H54" s="32"/>
      <c r="I54" s="32"/>
      <c r="M54" s="76"/>
      <c r="N54" s="76"/>
      <c r="O54" s="77"/>
      <c r="P54" s="77"/>
      <c r="Q54" s="78"/>
      <c r="R54" s="19"/>
    </row>
    <row r="55" spans="1:18" ht="12.75" customHeight="1" x14ac:dyDescent="0.2">
      <c r="A55" s="44" t="s">
        <v>70</v>
      </c>
      <c r="B55" s="13">
        <f>SUM('RETURNEE DATASET'!AS:AS)</f>
        <v>164044</v>
      </c>
      <c r="C55" s="13">
        <f t="shared" si="9"/>
        <v>984264</v>
      </c>
      <c r="D55" s="2">
        <f t="shared" si="10"/>
        <v>0.20918723228984554</v>
      </c>
      <c r="E55" s="19">
        <v>3</v>
      </c>
      <c r="G55" s="32"/>
      <c r="H55" s="32"/>
      <c r="I55" s="32"/>
      <c r="M55" s="76"/>
      <c r="N55" s="76"/>
      <c r="O55" s="77"/>
      <c r="P55" s="77"/>
      <c r="Q55" s="78"/>
      <c r="R55" s="19"/>
    </row>
    <row r="56" spans="1:18" x14ac:dyDescent="0.2">
      <c r="A56" s="44" t="s">
        <v>71</v>
      </c>
      <c r="B56" s="13">
        <f>SUM('RETURNEE DATASET'!AT:AT)</f>
        <v>62673</v>
      </c>
      <c r="C56" s="13">
        <f t="shared" si="9"/>
        <v>376038</v>
      </c>
      <c r="D56" s="2">
        <f t="shared" si="10"/>
        <v>7.9919969089399731E-2</v>
      </c>
      <c r="E56" s="19">
        <v>2</v>
      </c>
      <c r="G56" s="32"/>
      <c r="H56" s="32"/>
      <c r="I56" s="32"/>
      <c r="M56" s="76"/>
      <c r="N56" s="76"/>
      <c r="O56" s="77"/>
      <c r="P56" s="77"/>
      <c r="Q56" s="78"/>
      <c r="R56" s="19"/>
    </row>
    <row r="57" spans="1:18" x14ac:dyDescent="0.2">
      <c r="A57" s="44" t="s">
        <v>72</v>
      </c>
      <c r="B57" s="13">
        <f>SUM('RETURNEE DATASET'!AU:AU)</f>
        <v>303</v>
      </c>
      <c r="C57" s="13">
        <f t="shared" si="9"/>
        <v>1818</v>
      </c>
      <c r="D57" s="2">
        <f t="shared" si="10"/>
        <v>3.8638250337606495E-4</v>
      </c>
      <c r="E57" s="19">
        <v>1</v>
      </c>
      <c r="G57" s="32"/>
      <c r="H57" s="32"/>
      <c r="I57" s="32"/>
      <c r="M57" s="76"/>
      <c r="N57" s="76"/>
      <c r="O57" s="77"/>
      <c r="P57" s="77"/>
      <c r="Q57" s="78"/>
      <c r="R57" s="19"/>
    </row>
    <row r="58" spans="1:18" x14ac:dyDescent="0.2">
      <c r="A58" s="105" t="s">
        <v>73</v>
      </c>
      <c r="B58" s="13">
        <f>SUM('RETURNEE DATASET'!AV:AV)</f>
        <v>0</v>
      </c>
      <c r="C58" s="13">
        <f t="shared" si="9"/>
        <v>0</v>
      </c>
      <c r="D58" s="2">
        <f t="shared" si="10"/>
        <v>0</v>
      </c>
      <c r="E58" s="19"/>
      <c r="G58" s="32"/>
      <c r="H58" s="32"/>
      <c r="I58" s="32"/>
      <c r="M58" s="76"/>
      <c r="N58" s="76"/>
      <c r="O58" s="77"/>
      <c r="P58" s="77"/>
      <c r="Q58" s="78"/>
      <c r="R58" s="19"/>
    </row>
    <row r="59" spans="1:18" x14ac:dyDescent="0.2">
      <c r="A59" s="83" t="s">
        <v>28</v>
      </c>
      <c r="B59" s="45">
        <f>SUM(B49:B58)</f>
        <v>784197</v>
      </c>
      <c r="C59" s="45">
        <f>SUM(C49:C58)</f>
        <v>4705182</v>
      </c>
      <c r="D59" s="106">
        <f t="shared" si="10"/>
        <v>1</v>
      </c>
      <c r="E59" s="32"/>
      <c r="F59" s="32"/>
      <c r="G59" s="32"/>
      <c r="H59" s="32"/>
      <c r="I59" s="32"/>
      <c r="M59" s="76"/>
      <c r="N59" s="76"/>
      <c r="O59" s="77"/>
      <c r="P59" s="77"/>
      <c r="Q59" s="78"/>
      <c r="R59" s="19"/>
    </row>
    <row r="60" spans="1:18" x14ac:dyDescent="0.2">
      <c r="E60" s="32"/>
      <c r="F60" s="32"/>
      <c r="G60" s="32"/>
      <c r="H60" s="32"/>
      <c r="I60" s="32"/>
      <c r="M60" s="76"/>
      <c r="N60" s="76"/>
      <c r="O60" s="77"/>
      <c r="P60" s="77"/>
      <c r="Q60" s="78"/>
      <c r="R60" s="19"/>
    </row>
    <row r="61" spans="1:18" x14ac:dyDescent="0.2">
      <c r="A61" s="84" t="s">
        <v>74</v>
      </c>
      <c r="M61" s="46"/>
      <c r="N61" s="46"/>
      <c r="O61" s="47"/>
      <c r="P61" s="47"/>
      <c r="Q61" s="48"/>
      <c r="R61" s="48"/>
    </row>
    <row r="62" spans="1:18" ht="41.1" customHeight="1" x14ac:dyDescent="0.2">
      <c r="A62" s="3" t="s">
        <v>17</v>
      </c>
      <c r="B62" s="3" t="s">
        <v>5</v>
      </c>
      <c r="C62" s="3" t="s">
        <v>75</v>
      </c>
      <c r="D62" s="3" t="s">
        <v>76</v>
      </c>
    </row>
    <row r="63" spans="1:18" x14ac:dyDescent="0.2">
      <c r="A63" s="121" t="s">
        <v>29</v>
      </c>
      <c r="B63" s="14" t="s">
        <v>77</v>
      </c>
      <c r="C63" s="15">
        <f>SUMIF('RETURNEE DATASET'!$C:$C,$B63,'RETURNEE DATASET'!H:H)</f>
        <v>16075</v>
      </c>
      <c r="D63" s="15">
        <f>SUMIF('RETURNEE DATASET'!$C:$C,$B63,'RETURNEE DATASET'!I:I)</f>
        <v>96450</v>
      </c>
    </row>
    <row r="64" spans="1:18" x14ac:dyDescent="0.2">
      <c r="A64" s="122"/>
      <c r="B64" s="14" t="s">
        <v>78</v>
      </c>
      <c r="C64" s="15">
        <f>SUMIF('RETURNEE DATASET'!$C:$C,$B64,'RETURNEE DATASET'!H:H)</f>
        <v>4588</v>
      </c>
      <c r="D64" s="15">
        <f>SUMIF('RETURNEE DATASET'!$C:$C,$B64,'RETURNEE DATASET'!I:I)</f>
        <v>27528</v>
      </c>
    </row>
    <row r="65" spans="1:4" x14ac:dyDescent="0.2">
      <c r="A65" s="122"/>
      <c r="B65" s="14" t="s">
        <v>79</v>
      </c>
      <c r="C65" s="15">
        <f>SUMIF('RETURNEE DATASET'!$C:$C,$B65,'RETURNEE DATASET'!H:H)</f>
        <v>2473</v>
      </c>
      <c r="D65" s="15">
        <f>SUMIF('RETURNEE DATASET'!$C:$C,$B65,'RETURNEE DATASET'!I:I)</f>
        <v>14838</v>
      </c>
    </row>
    <row r="66" spans="1:4" x14ac:dyDescent="0.2">
      <c r="A66" s="122"/>
      <c r="B66" s="14" t="s">
        <v>80</v>
      </c>
      <c r="C66" s="15">
        <f>SUMIF('RETURNEE DATASET'!$C:$C,$B66,'RETURNEE DATASET'!H:H)</f>
        <v>93025</v>
      </c>
      <c r="D66" s="15">
        <f>SUMIF('RETURNEE DATASET'!$C:$C,$B66,'RETURNEE DATASET'!I:I)</f>
        <v>558150</v>
      </c>
    </row>
    <row r="67" spans="1:4" x14ac:dyDescent="0.2">
      <c r="A67" s="122"/>
      <c r="B67" s="14" t="s">
        <v>81</v>
      </c>
      <c r="C67" s="15">
        <f>SUMIF('RETURNEE DATASET'!$C:$C,$B67,'RETURNEE DATASET'!H:H)</f>
        <v>4525</v>
      </c>
      <c r="D67" s="15">
        <f>SUMIF('RETURNEE DATASET'!$C:$C,$B67,'RETURNEE DATASET'!I:I)</f>
        <v>27150</v>
      </c>
    </row>
    <row r="68" spans="1:4" x14ac:dyDescent="0.2">
      <c r="A68" s="122"/>
      <c r="B68" s="14" t="s">
        <v>82</v>
      </c>
      <c r="C68" s="15">
        <f>SUMIF('RETURNEE DATASET'!$C:$C,$B68,'RETURNEE DATASET'!H:H)</f>
        <v>29284</v>
      </c>
      <c r="D68" s="15">
        <f>SUMIF('RETURNEE DATASET'!$C:$C,$B68,'RETURNEE DATASET'!I:I)</f>
        <v>175704</v>
      </c>
    </row>
    <row r="69" spans="1:4" x14ac:dyDescent="0.2">
      <c r="A69" s="122"/>
      <c r="B69" s="14" t="s">
        <v>83</v>
      </c>
      <c r="C69" s="15">
        <f>SUMIF('RETURNEE DATASET'!$C:$C,$B69,'RETURNEE DATASET'!H:H)</f>
        <v>97791</v>
      </c>
      <c r="D69" s="15">
        <f>SUMIF('RETURNEE DATASET'!$C:$C,$B69,'RETURNEE DATASET'!I:I)</f>
        <v>586746</v>
      </c>
    </row>
    <row r="70" spans="1:4" x14ac:dyDescent="0.2">
      <c r="A70" s="123"/>
      <c r="B70" s="14" t="s">
        <v>84</v>
      </c>
      <c r="C70" s="15">
        <f>SUMIF('RETURNEE DATASET'!$C:$C,$B70,'RETURNEE DATASET'!H:H)</f>
        <v>2554</v>
      </c>
      <c r="D70" s="15">
        <f>SUMIF('RETURNEE DATASET'!$C:$C,$B70,'RETURNEE DATASET'!I:I)</f>
        <v>15324</v>
      </c>
    </row>
    <row r="71" spans="1:4" x14ac:dyDescent="0.2">
      <c r="A71" s="121" t="s">
        <v>30</v>
      </c>
      <c r="B71" s="14" t="s">
        <v>85</v>
      </c>
      <c r="C71" s="15">
        <f>SUMIF('RETURNEE DATASET'!$C:$C,$B71,'RETURNEE DATASET'!H:H)</f>
        <v>3852</v>
      </c>
      <c r="D71" s="15">
        <f>SUMIF('RETURNEE DATASET'!$C:$C,$B71,'RETURNEE DATASET'!I:I)</f>
        <v>23112</v>
      </c>
    </row>
    <row r="72" spans="1:4" x14ac:dyDescent="0.2">
      <c r="A72" s="122"/>
      <c r="B72" s="14" t="s">
        <v>86</v>
      </c>
      <c r="C72" s="15">
        <f>SUMIF('RETURNEE DATASET'!$C:$C,$B72,'RETURNEE DATASET'!H:H)</f>
        <v>1294</v>
      </c>
      <c r="D72" s="15">
        <f>SUMIF('RETURNEE DATASET'!$C:$C,$B72,'RETURNEE DATASET'!I:I)</f>
        <v>7764</v>
      </c>
    </row>
    <row r="73" spans="1:4" x14ac:dyDescent="0.2">
      <c r="A73" s="122"/>
      <c r="B73" s="14" t="s">
        <v>87</v>
      </c>
      <c r="C73" s="15">
        <f>SUMIF('RETURNEE DATASET'!$C:$C,$B73,'RETURNEE DATASET'!H:H)</f>
        <v>8186</v>
      </c>
      <c r="D73" s="15">
        <f>SUMIF('RETURNEE DATASET'!$C:$C,$B73,'RETURNEE DATASET'!I:I)</f>
        <v>49116</v>
      </c>
    </row>
    <row r="74" spans="1:4" x14ac:dyDescent="0.2">
      <c r="A74" s="123"/>
      <c r="B74" s="14" t="s">
        <v>88</v>
      </c>
      <c r="C74" s="15">
        <f>SUMIF('RETURNEE DATASET'!$C:$C,$B74,'RETURNEE DATASET'!H:H)</f>
        <v>1706</v>
      </c>
      <c r="D74" s="15">
        <f>SUMIF('RETURNEE DATASET'!$C:$C,$B74,'RETURNEE DATASET'!I:I)</f>
        <v>10236</v>
      </c>
    </row>
    <row r="75" spans="1:4" x14ac:dyDescent="0.2">
      <c r="A75" s="14" t="s">
        <v>31</v>
      </c>
      <c r="B75" s="14" t="s">
        <v>89</v>
      </c>
      <c r="C75" s="15">
        <f>SUMIF('RETURNEE DATASET'!$C:$C,$B75,'RETURNEE DATASET'!H:H)</f>
        <v>128</v>
      </c>
      <c r="D75" s="15">
        <f>SUMIF('RETURNEE DATASET'!$C:$C,$B75,'RETURNEE DATASET'!I:I)</f>
        <v>768</v>
      </c>
    </row>
    <row r="76" spans="1:4" x14ac:dyDescent="0.2">
      <c r="A76" s="121" t="s">
        <v>32</v>
      </c>
      <c r="B76" s="14" t="s">
        <v>90</v>
      </c>
      <c r="C76" s="15">
        <f>SUMIF('RETURNEE DATASET'!$C:$C,$B76,'RETURNEE DATASET'!H:H)</f>
        <v>12437</v>
      </c>
      <c r="D76" s="15">
        <f>SUMIF('RETURNEE DATASET'!$C:$C,$B76,'RETURNEE DATASET'!I:I)</f>
        <v>74622</v>
      </c>
    </row>
    <row r="77" spans="1:4" x14ac:dyDescent="0.2">
      <c r="A77" s="122"/>
      <c r="B77" s="14" t="s">
        <v>91</v>
      </c>
      <c r="C77" s="15">
        <f>SUMIF('RETURNEE DATASET'!$C:$C,$B77,'RETURNEE DATASET'!H:H)</f>
        <v>9416</v>
      </c>
      <c r="D77" s="15">
        <f>SUMIF('RETURNEE DATASET'!$C:$C,$B77,'RETURNEE DATASET'!I:I)</f>
        <v>56496</v>
      </c>
    </row>
    <row r="78" spans="1:4" x14ac:dyDescent="0.2">
      <c r="A78" s="122"/>
      <c r="B78" s="14" t="s">
        <v>92</v>
      </c>
      <c r="C78" s="15">
        <f>SUMIF('RETURNEE DATASET'!$C:$C,$B78,'RETURNEE DATASET'!H:H)</f>
        <v>16316</v>
      </c>
      <c r="D78" s="15">
        <f>SUMIF('RETURNEE DATASET'!$C:$C,$B78,'RETURNEE DATASET'!I:I)</f>
        <v>97896</v>
      </c>
    </row>
    <row r="79" spans="1:4" x14ac:dyDescent="0.2">
      <c r="A79" s="123"/>
      <c r="B79" s="14" t="s">
        <v>93</v>
      </c>
      <c r="C79" s="15">
        <f>SUMIF('RETURNEE DATASET'!$C:$C,$B79,'RETURNEE DATASET'!H:H)</f>
        <v>200</v>
      </c>
      <c r="D79" s="15">
        <f>SUMIF('RETURNEE DATASET'!$C:$C,$B79,'RETURNEE DATASET'!I:I)</f>
        <v>1200</v>
      </c>
    </row>
    <row r="80" spans="1:4" x14ac:dyDescent="0.2">
      <c r="A80" s="14" t="s">
        <v>33</v>
      </c>
      <c r="B80" s="14" t="s">
        <v>94</v>
      </c>
      <c r="C80" s="15">
        <f>SUMIF('RETURNEE DATASET'!$C:$C,$B80,'RETURNEE DATASET'!H:H)</f>
        <v>8813</v>
      </c>
      <c r="D80" s="15">
        <f>SUMIF('RETURNEE DATASET'!$C:$C,$B80,'RETURNEE DATASET'!I:I)</f>
        <v>52878</v>
      </c>
    </row>
    <row r="81" spans="1:4" x14ac:dyDescent="0.2">
      <c r="A81" s="121" t="s">
        <v>34</v>
      </c>
      <c r="B81" s="14" t="s">
        <v>95</v>
      </c>
      <c r="C81" s="15">
        <f>SUMIF('RETURNEE DATASET'!$C:$C,$B81,'RETURNEE DATASET'!H:H)</f>
        <v>27049</v>
      </c>
      <c r="D81" s="15">
        <f>SUMIF('RETURNEE DATASET'!$C:$C,$B81,'RETURNEE DATASET'!I:I)</f>
        <v>162294</v>
      </c>
    </row>
    <row r="82" spans="1:4" x14ac:dyDescent="0.2">
      <c r="A82" s="122"/>
      <c r="B82" s="14" t="s">
        <v>96</v>
      </c>
      <c r="C82" s="15">
        <f>SUMIF('RETURNEE DATASET'!$C:$C,$B82,'RETURNEE DATASET'!H:H)</f>
        <v>1206</v>
      </c>
      <c r="D82" s="15">
        <f>SUMIF('RETURNEE DATASET'!$C:$C,$B82,'RETURNEE DATASET'!I:I)</f>
        <v>7236</v>
      </c>
    </row>
    <row r="83" spans="1:4" x14ac:dyDescent="0.2">
      <c r="A83" s="122"/>
      <c r="B83" s="14" t="s">
        <v>97</v>
      </c>
      <c r="C83" s="15">
        <f>SUMIF('RETURNEE DATASET'!$C:$C,$B83,'RETURNEE DATASET'!H:H)</f>
        <v>2895</v>
      </c>
      <c r="D83" s="15">
        <f>SUMIF('RETURNEE DATASET'!$C:$C,$B83,'RETURNEE DATASET'!I:I)</f>
        <v>17370</v>
      </c>
    </row>
    <row r="84" spans="1:4" x14ac:dyDescent="0.2">
      <c r="A84" s="123"/>
      <c r="B84" s="14" t="s">
        <v>34</v>
      </c>
      <c r="C84" s="15">
        <f>SUMIF('RETURNEE DATASET'!$C:$C,$B84,'RETURNEE DATASET'!H:H)</f>
        <v>25626</v>
      </c>
      <c r="D84" s="15">
        <f>SUMIF('RETURNEE DATASET'!$C:$C,$B84,'RETURNEE DATASET'!I:I)</f>
        <v>153756</v>
      </c>
    </row>
    <row r="85" spans="1:4" x14ac:dyDescent="0.2">
      <c r="A85" s="121" t="s">
        <v>35</v>
      </c>
      <c r="B85" s="14" t="s">
        <v>98</v>
      </c>
      <c r="C85" s="15">
        <f>SUMIF('RETURNEE DATASET'!$C:$C,$B85,'RETURNEE DATASET'!H:H)</f>
        <v>6193</v>
      </c>
      <c r="D85" s="15">
        <f>SUMIF('RETURNEE DATASET'!$C:$C,$B85,'RETURNEE DATASET'!I:I)</f>
        <v>37158</v>
      </c>
    </row>
    <row r="86" spans="1:4" x14ac:dyDescent="0.2">
      <c r="A86" s="122"/>
      <c r="B86" s="14" t="s">
        <v>99</v>
      </c>
      <c r="C86" s="15">
        <f>SUMIF('RETURNEE DATASET'!$C:$C,$B86,'RETURNEE DATASET'!H:H)</f>
        <v>27542</v>
      </c>
      <c r="D86" s="15">
        <f>SUMIF('RETURNEE DATASET'!$C:$C,$B86,'RETURNEE DATASET'!I:I)</f>
        <v>165252</v>
      </c>
    </row>
    <row r="87" spans="1:4" x14ac:dyDescent="0.2">
      <c r="A87" s="122"/>
      <c r="B87" s="14" t="s">
        <v>100</v>
      </c>
      <c r="C87" s="15">
        <f>SUMIF('RETURNEE DATASET'!$C:$C,$B87,'RETURNEE DATASET'!H:H)</f>
        <v>357</v>
      </c>
      <c r="D87" s="15">
        <f>SUMIF('RETURNEE DATASET'!$C:$C,$B87,'RETURNEE DATASET'!I:I)</f>
        <v>2142</v>
      </c>
    </row>
    <row r="88" spans="1:4" x14ac:dyDescent="0.2">
      <c r="A88" s="122"/>
      <c r="B88" s="14" t="s">
        <v>101</v>
      </c>
      <c r="C88" s="15">
        <f>SUMIF('RETURNEE DATASET'!$C:$C,$B88,'RETURNEE DATASET'!H:H)</f>
        <v>7795</v>
      </c>
      <c r="D88" s="15">
        <f>SUMIF('RETURNEE DATASET'!$C:$C,$B88,'RETURNEE DATASET'!I:I)</f>
        <v>46770</v>
      </c>
    </row>
    <row r="89" spans="1:4" x14ac:dyDescent="0.2">
      <c r="A89" s="122"/>
      <c r="B89" s="14" t="s">
        <v>102</v>
      </c>
      <c r="C89" s="15">
        <f>SUMIF('RETURNEE DATASET'!$C:$C,$B89,'RETURNEE DATASET'!H:H)</f>
        <v>171806</v>
      </c>
      <c r="D89" s="15">
        <f>SUMIF('RETURNEE DATASET'!$C:$C,$B89,'RETURNEE DATASET'!I:I)</f>
        <v>1030836</v>
      </c>
    </row>
    <row r="90" spans="1:4" x14ac:dyDescent="0.2">
      <c r="A90" s="122"/>
      <c r="B90" s="14" t="s">
        <v>103</v>
      </c>
      <c r="C90" s="15">
        <f>SUMIF('RETURNEE DATASET'!$C:$C,$B90,'RETURNEE DATASET'!H:H)</f>
        <v>12069</v>
      </c>
      <c r="D90" s="15">
        <f>SUMIF('RETURNEE DATASET'!$C:$C,$B90,'RETURNEE DATASET'!I:I)</f>
        <v>72414</v>
      </c>
    </row>
    <row r="91" spans="1:4" x14ac:dyDescent="0.2">
      <c r="A91" s="122"/>
      <c r="B91" s="14" t="s">
        <v>104</v>
      </c>
      <c r="C91" s="15">
        <f>SUMIF('RETURNEE DATASET'!$C:$C,$B91,'RETURNEE DATASET'!H:H)</f>
        <v>57518</v>
      </c>
      <c r="D91" s="15">
        <f>SUMIF('RETURNEE DATASET'!$C:$C,$B91,'RETURNEE DATASET'!I:I)</f>
        <v>345108</v>
      </c>
    </row>
    <row r="92" spans="1:4" x14ac:dyDescent="0.2">
      <c r="A92" s="123"/>
      <c r="B92" s="14" t="s">
        <v>105</v>
      </c>
      <c r="C92" s="15">
        <f>SUMIF('RETURNEE DATASET'!$C:$C,$B92,'RETURNEE DATASET'!H:H)</f>
        <v>16658</v>
      </c>
      <c r="D92" s="15">
        <f>SUMIF('RETURNEE DATASET'!$C:$C,$B92,'RETURNEE DATASET'!I:I)</f>
        <v>99948</v>
      </c>
    </row>
    <row r="93" spans="1:4" x14ac:dyDescent="0.2">
      <c r="A93" s="121" t="s">
        <v>36</v>
      </c>
      <c r="B93" s="14" t="s">
        <v>106</v>
      </c>
      <c r="C93" s="15">
        <f>SUMIF('RETURNEE DATASET'!$C:$C,$B93,'RETURNEE DATASET'!H:H)</f>
        <v>10081</v>
      </c>
      <c r="D93" s="15">
        <f>SUMIF('RETURNEE DATASET'!$C:$C,$B93,'RETURNEE DATASET'!I:I)</f>
        <v>60486</v>
      </c>
    </row>
    <row r="94" spans="1:4" x14ac:dyDescent="0.2">
      <c r="A94" s="122"/>
      <c r="B94" s="14" t="s">
        <v>107</v>
      </c>
      <c r="C94" s="15">
        <f>SUMIF('RETURNEE DATASET'!$C:$C,$B94,'RETURNEE DATASET'!H:H)</f>
        <v>1866</v>
      </c>
      <c r="D94" s="15">
        <f>SUMIF('RETURNEE DATASET'!$C:$C,$B94,'RETURNEE DATASET'!I:I)</f>
        <v>11196</v>
      </c>
    </row>
    <row r="95" spans="1:4" x14ac:dyDescent="0.2">
      <c r="A95" s="122"/>
      <c r="B95" s="14" t="s">
        <v>108</v>
      </c>
      <c r="C95" s="15">
        <f>SUMIF('RETURNEE DATASET'!$C:$C,$B95,'RETURNEE DATASET'!H:H)</f>
        <v>26392</v>
      </c>
      <c r="D95" s="15">
        <f>SUMIF('RETURNEE DATASET'!$C:$C,$B95,'RETURNEE DATASET'!I:I)</f>
        <v>158352</v>
      </c>
    </row>
    <row r="96" spans="1:4" x14ac:dyDescent="0.2">
      <c r="A96" s="122"/>
      <c r="B96" s="14" t="s">
        <v>109</v>
      </c>
      <c r="C96" s="15">
        <f>SUMIF('RETURNEE DATASET'!$C:$C,$B96,'RETURNEE DATASET'!H:H)</f>
        <v>18724</v>
      </c>
      <c r="D96" s="15">
        <f>SUMIF('RETURNEE DATASET'!$C:$C,$B96,'RETURNEE DATASET'!I:I)</f>
        <v>112344</v>
      </c>
    </row>
    <row r="97" spans="1:4" x14ac:dyDescent="0.2">
      <c r="A97" s="122"/>
      <c r="B97" s="14" t="s">
        <v>110</v>
      </c>
      <c r="C97" s="15">
        <f>SUMIF('RETURNEE DATASET'!$C:$C,$B97,'RETURNEE DATASET'!H:H)</f>
        <v>11025</v>
      </c>
      <c r="D97" s="15">
        <f>SUMIF('RETURNEE DATASET'!$C:$C,$B97,'RETURNEE DATASET'!I:I)</f>
        <v>66150</v>
      </c>
    </row>
    <row r="98" spans="1:4" x14ac:dyDescent="0.2">
      <c r="A98" s="122"/>
      <c r="B98" s="14" t="s">
        <v>111</v>
      </c>
      <c r="C98" s="15">
        <f>SUMIF('RETURNEE DATASET'!$C:$C,$B98,'RETURNEE DATASET'!H:H)</f>
        <v>9436</v>
      </c>
      <c r="D98" s="15">
        <f>SUMIF('RETURNEE DATASET'!$C:$C,$B98,'RETURNEE DATASET'!I:I)</f>
        <v>56616</v>
      </c>
    </row>
    <row r="99" spans="1:4" x14ac:dyDescent="0.2">
      <c r="A99" s="122"/>
      <c r="B99" s="14" t="s">
        <v>112</v>
      </c>
      <c r="C99" s="15">
        <f>SUMIF('RETURNEE DATASET'!$C:$C,$B99,'RETURNEE DATASET'!H:H)</f>
        <v>29206</v>
      </c>
      <c r="D99" s="15">
        <f>SUMIF('RETURNEE DATASET'!$C:$C,$B99,'RETURNEE DATASET'!I:I)</f>
        <v>175236</v>
      </c>
    </row>
    <row r="100" spans="1:4" x14ac:dyDescent="0.2">
      <c r="A100" s="123"/>
      <c r="B100" s="14" t="s">
        <v>113</v>
      </c>
      <c r="C100" s="15">
        <f>SUMIF('RETURNEE DATASET'!$C:$C,$B100,'RETURNEE DATASET'!H:H)</f>
        <v>8090</v>
      </c>
      <c r="D100" s="15">
        <f>SUMIF('RETURNEE DATASET'!$C:$C,$B100,'RETURNEE DATASET'!I:I)</f>
        <v>48540</v>
      </c>
    </row>
    <row r="101" spans="1:4" x14ac:dyDescent="0.2">
      <c r="A101" s="118" t="s">
        <v>28</v>
      </c>
      <c r="B101" s="118"/>
      <c r="C101" s="16">
        <f>SUM(C63:C100)</f>
        <v>784197</v>
      </c>
      <c r="D101" s="16">
        <f>SUM(D63:D100)</f>
        <v>4705182</v>
      </c>
    </row>
  </sheetData>
  <mergeCells count="11">
    <mergeCell ref="A1:B1"/>
    <mergeCell ref="B21:T21"/>
    <mergeCell ref="A101:B101"/>
    <mergeCell ref="B8:L8"/>
    <mergeCell ref="A63:A70"/>
    <mergeCell ref="A71:A74"/>
    <mergeCell ref="A76:A79"/>
    <mergeCell ref="A81:A84"/>
    <mergeCell ref="A85:A92"/>
    <mergeCell ref="A93:A100"/>
    <mergeCell ref="B34:J34"/>
  </mergeCells>
  <conditionalFormatting sqref="M10:M17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{1B93FA1B-721E-4674-B332-57788F579C98}</x14:id>
        </ext>
      </extLst>
    </cfRule>
  </conditionalFormatting>
  <conditionalFormatting sqref="T23:T30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{D6B9F94E-E4CE-4688-8883-13E67136A7E7}</x14:id>
        </ext>
      </extLst>
    </cfRule>
  </conditionalFormatting>
  <conditionalFormatting sqref="L36:L43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{8C908391-716B-4FFB-ABCC-1B83FC39FBA8}</x14:id>
        </ext>
      </extLst>
    </cfRule>
  </conditionalFormatting>
  <conditionalFormatting sqref="C63:C101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{5DC9C679-831F-4C93-A417-6C90A699C479}</x14:id>
        </ext>
      </extLst>
    </cfRule>
  </conditionalFormatting>
  <conditionalFormatting sqref="D63:D101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{0FE530C1-16D2-454F-95C1-E59922AD4434}</x14:id>
        </ext>
      </extLst>
    </cfRule>
  </conditionalFormatting>
  <conditionalFormatting sqref="Q46:Q60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{22F40E74-C849-4703-B1AD-7472CA42F26A}</x14:id>
        </ext>
      </extLst>
    </cfRule>
  </conditionalFormatting>
  <conditionalFormatting sqref="Q46:Q60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{3D34AB13-1AFA-4A5B-9F90-BEEC28B3E0A6}</x14:id>
        </ext>
      </extLst>
    </cfRule>
  </conditionalFormatting>
  <conditionalFormatting sqref="D49:D5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{8240889F-2A80-4110-8BF5-5CFD77055F72}</x14:id>
        </ext>
      </extLst>
    </cfRule>
  </conditionalFormatting>
  <pageMargins left="1" right="1" top="1" bottom="1" header="1" footer="1"/>
  <pageSetup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B93FA1B-721E-4674-B332-57788F579C9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M10:M17</xm:sqref>
        </x14:conditionalFormatting>
        <x14:conditionalFormatting xmlns:xm="http://schemas.microsoft.com/office/excel/2006/main">
          <x14:cfRule type="dataBar" id="{D6B9F94E-E4CE-4688-8883-13E67136A7E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T23:T30</xm:sqref>
        </x14:conditionalFormatting>
        <x14:conditionalFormatting xmlns:xm="http://schemas.microsoft.com/office/excel/2006/main">
          <x14:cfRule type="dataBar" id="{8C908391-716B-4FFB-ABCC-1B83FC39FBA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L36:L43</xm:sqref>
        </x14:conditionalFormatting>
        <x14:conditionalFormatting xmlns:xm="http://schemas.microsoft.com/office/excel/2006/main">
          <x14:cfRule type="dataBar" id="{5DC9C679-831F-4C93-A417-6C90A699C47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C63:C101</xm:sqref>
        </x14:conditionalFormatting>
        <x14:conditionalFormatting xmlns:xm="http://schemas.microsoft.com/office/excel/2006/main">
          <x14:cfRule type="dataBar" id="{0FE530C1-16D2-454F-95C1-E59922AD443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D63:D101</xm:sqref>
        </x14:conditionalFormatting>
        <x14:conditionalFormatting xmlns:xm="http://schemas.microsoft.com/office/excel/2006/main">
          <x14:cfRule type="dataBar" id="{22F40E74-C849-4703-B1AD-7472CA42F26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Q46:Q60</xm:sqref>
        </x14:conditionalFormatting>
        <x14:conditionalFormatting xmlns:xm="http://schemas.microsoft.com/office/excel/2006/main">
          <x14:cfRule type="dataBar" id="{3D34AB13-1AFA-4A5B-9F90-BEEC28B3E0A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Q46:Q60</xm:sqref>
        </x14:conditionalFormatting>
        <x14:conditionalFormatting xmlns:xm="http://schemas.microsoft.com/office/excel/2006/main">
          <x14:cfRule type="dataBar" id="{8240889F-2A80-4110-8BF5-5CFD77055F7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D49:D58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Y2030"/>
  <sheetViews>
    <sheetView showGridLines="0" zoomScaleNormal="100" workbookViewId="0">
      <selection sqref="A1:E1"/>
    </sheetView>
  </sheetViews>
  <sheetFormatPr defaultColWidth="9.140625" defaultRowHeight="12.75" x14ac:dyDescent="0.2"/>
  <cols>
    <col min="1" max="1" width="11.42578125" style="94" bestFit="1" customWidth="1"/>
    <col min="2" max="2" width="14.85546875" style="86" bestFit="1" customWidth="1"/>
    <col min="3" max="3" width="11" style="86" bestFit="1" customWidth="1"/>
    <col min="4" max="4" width="27.7109375" style="86" customWidth="1"/>
    <col min="5" max="5" width="20.7109375" style="86" customWidth="1"/>
    <col min="6" max="6" width="11.85546875" style="86" bestFit="1" customWidth="1"/>
    <col min="7" max="7" width="13.42578125" style="86" bestFit="1" customWidth="1"/>
    <col min="8" max="8" width="11.7109375" style="94" bestFit="1" customWidth="1"/>
    <col min="9" max="9" width="14" style="94" bestFit="1" customWidth="1"/>
    <col min="10" max="10" width="11.7109375" style="86" bestFit="1" customWidth="1"/>
    <col min="11" max="11" width="14.140625" style="86" bestFit="1" customWidth="1"/>
    <col min="12" max="12" width="11.42578125" style="86" bestFit="1" customWidth="1"/>
    <col min="13" max="13" width="12.85546875" style="86" customWidth="1"/>
    <col min="14" max="14" width="14" style="86" customWidth="1"/>
    <col min="15" max="15" width="14.28515625" style="86" bestFit="1" customWidth="1"/>
    <col min="16" max="16" width="21.140625" style="86" customWidth="1"/>
    <col min="17" max="17" width="13.140625" style="86" bestFit="1" customWidth="1"/>
    <col min="18" max="18" width="12" style="86" bestFit="1" customWidth="1"/>
    <col min="19" max="20" width="14.42578125" style="86" bestFit="1" customWidth="1"/>
    <col min="21" max="21" width="10" style="86" bestFit="1" customWidth="1"/>
    <col min="22" max="22" width="11.85546875" style="86" bestFit="1" customWidth="1"/>
    <col min="23" max="23" width="12.42578125" style="86" bestFit="1" customWidth="1"/>
    <col min="24" max="24" width="10.85546875" style="86" bestFit="1" customWidth="1"/>
    <col min="25" max="25" width="10.42578125" style="86" bestFit="1" customWidth="1"/>
    <col min="26" max="26" width="10.140625" style="86" bestFit="1" customWidth="1"/>
    <col min="27" max="27" width="9" style="86" bestFit="1" customWidth="1"/>
    <col min="28" max="28" width="11.28515625" style="86" bestFit="1" customWidth="1"/>
    <col min="29" max="29" width="10.42578125" style="86" bestFit="1" customWidth="1"/>
    <col min="30" max="30" width="10.85546875" style="86" bestFit="1" customWidth="1"/>
    <col min="31" max="31" width="13.140625" style="86" bestFit="1" customWidth="1"/>
    <col min="32" max="32" width="9.42578125" style="86" bestFit="1" customWidth="1"/>
    <col min="33" max="33" width="11" style="86" bestFit="1" customWidth="1"/>
    <col min="34" max="34" width="12.85546875" style="86" bestFit="1" customWidth="1"/>
    <col min="35" max="35" width="14.7109375" style="86" bestFit="1" customWidth="1"/>
    <col min="36" max="36" width="16.140625" style="86" bestFit="1" customWidth="1"/>
    <col min="37" max="37" width="11" style="86" bestFit="1" customWidth="1"/>
    <col min="38" max="38" width="10.7109375" style="86" bestFit="1" customWidth="1"/>
    <col min="39" max="39" width="14.42578125" style="86" bestFit="1" customWidth="1"/>
    <col min="40" max="40" width="15.140625" style="86" bestFit="1" customWidth="1"/>
    <col min="41" max="41" width="13.140625" style="86" bestFit="1" customWidth="1"/>
    <col min="42" max="42" width="19.85546875" style="86" bestFit="1" customWidth="1"/>
    <col min="43" max="43" width="19.28515625" style="86" bestFit="1" customWidth="1"/>
    <col min="44" max="48" width="19.28515625" style="86" customWidth="1"/>
    <col min="49" max="49" width="15" style="86" bestFit="1" customWidth="1"/>
    <col min="50" max="50" width="11.42578125" style="86" bestFit="1" customWidth="1"/>
    <col min="51" max="51" width="12.7109375" style="86" bestFit="1" customWidth="1"/>
    <col min="52" max="16384" width="9.140625" style="86"/>
  </cols>
  <sheetData>
    <row r="1" spans="1:51" s="93" customFormat="1" ht="26.1" customHeight="1" x14ac:dyDescent="0.25">
      <c r="A1" s="126" t="s">
        <v>3880</v>
      </c>
      <c r="B1" s="126"/>
      <c r="C1" s="126"/>
      <c r="D1" s="126"/>
      <c r="E1" s="126"/>
      <c r="F1" s="95"/>
      <c r="G1" s="95"/>
      <c r="H1" s="17"/>
      <c r="I1" s="17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</row>
    <row r="2" spans="1:51" ht="15" customHeight="1" x14ac:dyDescent="0.2">
      <c r="A2" s="127" t="s">
        <v>118</v>
      </c>
      <c r="B2" s="127"/>
      <c r="C2" s="127"/>
      <c r="D2" s="127"/>
      <c r="E2" s="127"/>
      <c r="F2" s="127"/>
      <c r="G2" s="127"/>
      <c r="H2" s="128" t="s">
        <v>3876</v>
      </c>
      <c r="I2" s="129"/>
      <c r="J2" s="133" t="s">
        <v>3877</v>
      </c>
      <c r="K2" s="134"/>
      <c r="L2" s="134"/>
      <c r="M2" s="134"/>
      <c r="N2" s="134"/>
      <c r="O2" s="134"/>
      <c r="P2" s="134"/>
      <c r="Q2" s="134"/>
      <c r="R2" s="134"/>
      <c r="S2" s="134"/>
      <c r="T2" s="135"/>
      <c r="U2" s="132" t="s">
        <v>119</v>
      </c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1" t="s">
        <v>4</v>
      </c>
      <c r="AN2" s="131"/>
      <c r="AO2" s="131"/>
      <c r="AP2" s="131"/>
      <c r="AQ2" s="131"/>
      <c r="AR2" s="131"/>
      <c r="AS2" s="131"/>
      <c r="AT2" s="131"/>
      <c r="AU2" s="131"/>
      <c r="AV2" s="131"/>
      <c r="AW2" s="130" t="s">
        <v>120</v>
      </c>
      <c r="AX2" s="130"/>
      <c r="AY2" s="130"/>
    </row>
    <row r="3" spans="1:51" s="93" customFormat="1" ht="51" x14ac:dyDescent="0.25">
      <c r="A3" s="87" t="s">
        <v>121</v>
      </c>
      <c r="B3" s="87" t="s">
        <v>122</v>
      </c>
      <c r="C3" s="87" t="s">
        <v>123</v>
      </c>
      <c r="D3" s="87" t="s">
        <v>124</v>
      </c>
      <c r="E3" s="87" t="s">
        <v>125</v>
      </c>
      <c r="F3" s="87" t="s">
        <v>126</v>
      </c>
      <c r="G3" s="87" t="s">
        <v>127</v>
      </c>
      <c r="H3" s="88" t="s">
        <v>75</v>
      </c>
      <c r="I3" s="88" t="s">
        <v>76</v>
      </c>
      <c r="J3" s="109" t="s">
        <v>20</v>
      </c>
      <c r="K3" s="109" t="s">
        <v>21</v>
      </c>
      <c r="L3" s="109" t="s">
        <v>131</v>
      </c>
      <c r="M3" s="109" t="s">
        <v>128</v>
      </c>
      <c r="N3" s="108" t="s">
        <v>129</v>
      </c>
      <c r="O3" s="108" t="s">
        <v>130</v>
      </c>
      <c r="P3" s="108" t="s">
        <v>132</v>
      </c>
      <c r="Q3" s="108" t="s">
        <v>23</v>
      </c>
      <c r="R3" s="108" t="s">
        <v>25</v>
      </c>
      <c r="S3" s="108" t="s">
        <v>3878</v>
      </c>
      <c r="T3" s="109" t="s">
        <v>133</v>
      </c>
      <c r="U3" s="89" t="s">
        <v>29</v>
      </c>
      <c r="V3" s="89" t="s">
        <v>39</v>
      </c>
      <c r="W3" s="89" t="s">
        <v>30</v>
      </c>
      <c r="X3" s="89" t="s">
        <v>40</v>
      </c>
      <c r="Y3" s="89" t="s">
        <v>31</v>
      </c>
      <c r="Z3" s="89" t="s">
        <v>32</v>
      </c>
      <c r="AA3" s="89" t="s">
        <v>33</v>
      </c>
      <c r="AB3" s="89" t="s">
        <v>41</v>
      </c>
      <c r="AC3" s="89" t="s">
        <v>34</v>
      </c>
      <c r="AD3" s="89" t="s">
        <v>42</v>
      </c>
      <c r="AE3" s="89" t="s">
        <v>43</v>
      </c>
      <c r="AF3" s="89" t="s">
        <v>44</v>
      </c>
      <c r="AG3" s="89" t="s">
        <v>35</v>
      </c>
      <c r="AH3" s="89" t="s">
        <v>45</v>
      </c>
      <c r="AI3" s="89" t="s">
        <v>36</v>
      </c>
      <c r="AJ3" s="89" t="s">
        <v>46</v>
      </c>
      <c r="AK3" s="89" t="s">
        <v>47</v>
      </c>
      <c r="AL3" s="89" t="s">
        <v>48</v>
      </c>
      <c r="AM3" s="90" t="s">
        <v>134</v>
      </c>
      <c r="AN3" s="90" t="s">
        <v>135</v>
      </c>
      <c r="AO3" s="90" t="s">
        <v>136</v>
      </c>
      <c r="AP3" s="90" t="s">
        <v>137</v>
      </c>
      <c r="AQ3" s="90" t="s">
        <v>138</v>
      </c>
      <c r="AR3" s="90" t="s">
        <v>139</v>
      </c>
      <c r="AS3" s="90" t="s">
        <v>140</v>
      </c>
      <c r="AT3" s="91" t="s">
        <v>55</v>
      </c>
      <c r="AU3" s="91" t="s">
        <v>56</v>
      </c>
      <c r="AV3" s="91" t="s">
        <v>57</v>
      </c>
      <c r="AW3" s="92" t="s">
        <v>141</v>
      </c>
      <c r="AX3" s="92" t="s">
        <v>142</v>
      </c>
      <c r="AY3" s="92" t="s">
        <v>143</v>
      </c>
    </row>
    <row r="4" spans="1:51" x14ac:dyDescent="0.2">
      <c r="A4" s="102">
        <v>106</v>
      </c>
      <c r="B4" s="103" t="s">
        <v>29</v>
      </c>
      <c r="C4" s="103" t="s">
        <v>77</v>
      </c>
      <c r="D4" s="103" t="s">
        <v>174</v>
      </c>
      <c r="E4" s="103" t="s">
        <v>175</v>
      </c>
      <c r="F4" s="103">
        <v>34.379128563400002</v>
      </c>
      <c r="G4" s="103">
        <v>41.000378237500001</v>
      </c>
      <c r="H4" s="102">
        <v>1176</v>
      </c>
      <c r="I4" s="102">
        <v>7056</v>
      </c>
      <c r="J4" s="103"/>
      <c r="K4" s="103"/>
      <c r="L4" s="103"/>
      <c r="M4" s="103">
        <v>926</v>
      </c>
      <c r="N4" s="103">
        <v>250</v>
      </c>
      <c r="O4" s="103"/>
      <c r="P4" s="103"/>
      <c r="Q4" s="103"/>
      <c r="R4" s="103"/>
      <c r="S4" s="103"/>
      <c r="T4" s="103"/>
      <c r="U4" s="103">
        <v>160</v>
      </c>
      <c r="V4" s="103">
        <v>98</v>
      </c>
      <c r="W4" s="103">
        <v>456</v>
      </c>
      <c r="X4" s="103"/>
      <c r="Y4" s="103"/>
      <c r="Z4" s="103"/>
      <c r="AA4" s="103">
        <v>256</v>
      </c>
      <c r="AB4" s="103"/>
      <c r="AC4" s="103">
        <v>45</v>
      </c>
      <c r="AD4" s="103"/>
      <c r="AE4" s="103"/>
      <c r="AF4" s="103"/>
      <c r="AG4" s="103"/>
      <c r="AH4" s="103"/>
      <c r="AI4" s="103"/>
      <c r="AJ4" s="103">
        <v>161</v>
      </c>
      <c r="AK4" s="103"/>
      <c r="AL4" s="103"/>
      <c r="AM4" s="103"/>
      <c r="AN4" s="103"/>
      <c r="AO4" s="103"/>
      <c r="AP4" s="103"/>
      <c r="AQ4" s="103">
        <v>175</v>
      </c>
      <c r="AR4" s="103">
        <v>220</v>
      </c>
      <c r="AS4" s="103">
        <v>315</v>
      </c>
      <c r="AT4" s="103">
        <v>466</v>
      </c>
      <c r="AU4" s="103"/>
      <c r="AV4" s="103"/>
      <c r="AW4" s="104" t="str">
        <f>HYPERLINK("http://www.openstreetmap.org/?mlat=34.3791&amp;mlon=41.0004&amp;zoom=12#map=12/34.3791/41.0004","Maplink1")</f>
        <v>Maplink1</v>
      </c>
      <c r="AX4" s="104" t="str">
        <f>HYPERLINK("https://www.google.iq/maps/search/+34.3791,41.0004/@34.3791,41.0004,14z?hl=en","Maplink2")</f>
        <v>Maplink2</v>
      </c>
      <c r="AY4" s="104" t="str">
        <f>HYPERLINK("http://www.bing.com/maps/?lvl=14&amp;sty=h&amp;cp=34.3791~41.0004&amp;sp=point.34.3791_41.0004","Maplink3")</f>
        <v>Maplink3</v>
      </c>
    </row>
    <row r="5" spans="1:51" x14ac:dyDescent="0.2">
      <c r="A5" s="102">
        <v>23788</v>
      </c>
      <c r="B5" s="103" t="s">
        <v>29</v>
      </c>
      <c r="C5" s="103" t="s">
        <v>77</v>
      </c>
      <c r="D5" s="103" t="s">
        <v>176</v>
      </c>
      <c r="E5" s="103" t="s">
        <v>177</v>
      </c>
      <c r="F5" s="103">
        <v>34.387152863700003</v>
      </c>
      <c r="G5" s="103">
        <v>40.988818482100001</v>
      </c>
      <c r="H5" s="102">
        <v>385</v>
      </c>
      <c r="I5" s="102">
        <v>2310</v>
      </c>
      <c r="J5" s="103"/>
      <c r="K5" s="103"/>
      <c r="L5" s="103">
        <v>11</v>
      </c>
      <c r="M5" s="103">
        <v>328</v>
      </c>
      <c r="N5" s="103">
        <v>46</v>
      </c>
      <c r="O5" s="103"/>
      <c r="P5" s="103"/>
      <c r="Q5" s="103"/>
      <c r="R5" s="103"/>
      <c r="S5" s="103"/>
      <c r="T5" s="103"/>
      <c r="U5" s="103">
        <v>199</v>
      </c>
      <c r="V5" s="103"/>
      <c r="W5" s="103">
        <v>69</v>
      </c>
      <c r="X5" s="103"/>
      <c r="Y5" s="103"/>
      <c r="Z5" s="103"/>
      <c r="AA5" s="103">
        <v>80</v>
      </c>
      <c r="AB5" s="103"/>
      <c r="AC5" s="103"/>
      <c r="AD5" s="103"/>
      <c r="AE5" s="103"/>
      <c r="AF5" s="103"/>
      <c r="AG5" s="103"/>
      <c r="AH5" s="103"/>
      <c r="AI5" s="103"/>
      <c r="AJ5" s="103">
        <v>37</v>
      </c>
      <c r="AK5" s="103"/>
      <c r="AL5" s="103"/>
      <c r="AM5" s="103"/>
      <c r="AN5" s="103"/>
      <c r="AO5" s="103"/>
      <c r="AP5" s="103"/>
      <c r="AQ5" s="103"/>
      <c r="AR5" s="103">
        <v>72</v>
      </c>
      <c r="AS5" s="103">
        <v>64</v>
      </c>
      <c r="AT5" s="103">
        <v>249</v>
      </c>
      <c r="AU5" s="103"/>
      <c r="AV5" s="103"/>
      <c r="AW5" s="104" t="str">
        <f>HYPERLINK("http://www.openstreetmap.org/?mlat=34.3872&amp;mlon=40.9888&amp;zoom=12#map=12/34.3872/40.9888","Maplink1")</f>
        <v>Maplink1</v>
      </c>
      <c r="AX5" s="104" t="str">
        <f>HYPERLINK("https://www.google.iq/maps/search/+34.3872,40.9888/@34.3872,40.9888,14z?hl=en","Maplink2")</f>
        <v>Maplink2</v>
      </c>
      <c r="AY5" s="104" t="str">
        <f>HYPERLINK("http://www.bing.com/maps/?lvl=14&amp;sty=h&amp;cp=34.3872~40.9888&amp;sp=point.34.3872_40.9888","Maplink3")</f>
        <v>Maplink3</v>
      </c>
    </row>
    <row r="6" spans="1:51" x14ac:dyDescent="0.2">
      <c r="A6" s="102">
        <v>23794</v>
      </c>
      <c r="B6" s="103" t="s">
        <v>29</v>
      </c>
      <c r="C6" s="103" t="s">
        <v>77</v>
      </c>
      <c r="D6" s="103" t="s">
        <v>178</v>
      </c>
      <c r="E6" s="103" t="s">
        <v>179</v>
      </c>
      <c r="F6" s="103">
        <v>34.384036181500001</v>
      </c>
      <c r="G6" s="103">
        <v>41.035055999999997</v>
      </c>
      <c r="H6" s="102">
        <v>142</v>
      </c>
      <c r="I6" s="102">
        <v>852</v>
      </c>
      <c r="J6" s="103"/>
      <c r="K6" s="103"/>
      <c r="L6" s="103"/>
      <c r="M6" s="103">
        <v>132</v>
      </c>
      <c r="N6" s="103">
        <v>10</v>
      </c>
      <c r="O6" s="103"/>
      <c r="P6" s="103"/>
      <c r="Q6" s="103"/>
      <c r="R6" s="103"/>
      <c r="S6" s="103"/>
      <c r="T6" s="103"/>
      <c r="U6" s="103"/>
      <c r="V6" s="103"/>
      <c r="W6" s="103">
        <v>60</v>
      </c>
      <c r="X6" s="103"/>
      <c r="Y6" s="103"/>
      <c r="Z6" s="103"/>
      <c r="AA6" s="103">
        <v>57</v>
      </c>
      <c r="AB6" s="103"/>
      <c r="AC6" s="103"/>
      <c r="AD6" s="103"/>
      <c r="AE6" s="103"/>
      <c r="AF6" s="103"/>
      <c r="AG6" s="103"/>
      <c r="AH6" s="103"/>
      <c r="AI6" s="103"/>
      <c r="AJ6" s="103">
        <v>25</v>
      </c>
      <c r="AK6" s="103"/>
      <c r="AL6" s="103"/>
      <c r="AM6" s="103"/>
      <c r="AN6" s="103"/>
      <c r="AO6" s="103"/>
      <c r="AP6" s="103"/>
      <c r="AQ6" s="103"/>
      <c r="AR6" s="103">
        <v>35</v>
      </c>
      <c r="AS6" s="103">
        <v>97</v>
      </c>
      <c r="AT6" s="103">
        <v>10</v>
      </c>
      <c r="AU6" s="103"/>
      <c r="AV6" s="103"/>
      <c r="AW6" s="104" t="str">
        <f>HYPERLINK("http://www.openstreetmap.org/?mlat=34.384&amp;mlon=41.0351&amp;zoom=12#map=12/34.384/41.0351","Maplink1")</f>
        <v>Maplink1</v>
      </c>
      <c r="AX6" s="104" t="str">
        <f>HYPERLINK("https://www.google.iq/maps/search/+34.384,41.0351/@34.384,41.0351,14z?hl=en","Maplink2")</f>
        <v>Maplink2</v>
      </c>
      <c r="AY6" s="104" t="str">
        <f>HYPERLINK("http://www.bing.com/maps/?lvl=14&amp;sty=h&amp;cp=34.384~41.0351&amp;sp=point.34.384_41.0351","Maplink3")</f>
        <v>Maplink3</v>
      </c>
    </row>
    <row r="7" spans="1:51" x14ac:dyDescent="0.2">
      <c r="A7" s="102">
        <v>286</v>
      </c>
      <c r="B7" s="103" t="s">
        <v>29</v>
      </c>
      <c r="C7" s="103" t="s">
        <v>77</v>
      </c>
      <c r="D7" s="103" t="s">
        <v>180</v>
      </c>
      <c r="E7" s="103" t="s">
        <v>181</v>
      </c>
      <c r="F7" s="103">
        <v>34.376734721399998</v>
      </c>
      <c r="G7" s="103">
        <v>41.063077090699998</v>
      </c>
      <c r="H7" s="102">
        <v>330</v>
      </c>
      <c r="I7" s="102">
        <v>1980</v>
      </c>
      <c r="J7" s="103"/>
      <c r="K7" s="103"/>
      <c r="L7" s="103">
        <v>80</v>
      </c>
      <c r="M7" s="103">
        <v>219</v>
      </c>
      <c r="N7" s="103">
        <v>31</v>
      </c>
      <c r="O7" s="103"/>
      <c r="P7" s="103"/>
      <c r="Q7" s="103"/>
      <c r="R7" s="103"/>
      <c r="S7" s="103"/>
      <c r="T7" s="103"/>
      <c r="U7" s="103">
        <v>240</v>
      </c>
      <c r="V7" s="103"/>
      <c r="W7" s="103">
        <v>14</v>
      </c>
      <c r="X7" s="103"/>
      <c r="Y7" s="103"/>
      <c r="Z7" s="103"/>
      <c r="AA7" s="103">
        <v>51</v>
      </c>
      <c r="AB7" s="103"/>
      <c r="AC7" s="103"/>
      <c r="AD7" s="103"/>
      <c r="AE7" s="103"/>
      <c r="AF7" s="103"/>
      <c r="AG7" s="103"/>
      <c r="AH7" s="103"/>
      <c r="AI7" s="103"/>
      <c r="AJ7" s="103">
        <v>25</v>
      </c>
      <c r="AK7" s="103"/>
      <c r="AL7" s="103"/>
      <c r="AM7" s="103"/>
      <c r="AN7" s="103"/>
      <c r="AO7" s="103"/>
      <c r="AP7" s="103"/>
      <c r="AQ7" s="103"/>
      <c r="AR7" s="103">
        <v>90</v>
      </c>
      <c r="AS7" s="103">
        <v>94</v>
      </c>
      <c r="AT7" s="103">
        <v>146</v>
      </c>
      <c r="AU7" s="103"/>
      <c r="AV7" s="103"/>
      <c r="AW7" s="104" t="str">
        <f>HYPERLINK("http://www.openstreetmap.org/?mlat=34.3767&amp;mlon=41.0631&amp;zoom=12#map=12/34.3767/41.0631","Maplink1")</f>
        <v>Maplink1</v>
      </c>
      <c r="AX7" s="104" t="str">
        <f>HYPERLINK("https://www.google.iq/maps/search/+34.3767,41.0631/@34.3767,41.0631,14z?hl=en","Maplink2")</f>
        <v>Maplink2</v>
      </c>
      <c r="AY7" s="104" t="str">
        <f>HYPERLINK("http://www.bing.com/maps/?lvl=14&amp;sty=h&amp;cp=34.3767~41.0631&amp;sp=point.34.3767_41.0631","Maplink3")</f>
        <v>Maplink3</v>
      </c>
    </row>
    <row r="8" spans="1:51" x14ac:dyDescent="0.2">
      <c r="A8" s="102">
        <v>273</v>
      </c>
      <c r="B8" s="103" t="s">
        <v>29</v>
      </c>
      <c r="C8" s="103" t="s">
        <v>77</v>
      </c>
      <c r="D8" s="103" t="s">
        <v>192</v>
      </c>
      <c r="E8" s="103" t="s">
        <v>193</v>
      </c>
      <c r="F8" s="103">
        <v>34.406289203900002</v>
      </c>
      <c r="G8" s="103">
        <v>41.094572269799997</v>
      </c>
      <c r="H8" s="102">
        <v>566</v>
      </c>
      <c r="I8" s="102">
        <v>3396</v>
      </c>
      <c r="J8" s="103"/>
      <c r="K8" s="103"/>
      <c r="L8" s="103"/>
      <c r="M8" s="103">
        <v>489</v>
      </c>
      <c r="N8" s="103">
        <v>77</v>
      </c>
      <c r="O8" s="103"/>
      <c r="P8" s="103"/>
      <c r="Q8" s="103"/>
      <c r="R8" s="103"/>
      <c r="S8" s="103"/>
      <c r="T8" s="103"/>
      <c r="U8" s="103">
        <v>188</v>
      </c>
      <c r="V8" s="103"/>
      <c r="W8" s="103">
        <v>222</v>
      </c>
      <c r="X8" s="103"/>
      <c r="Y8" s="103"/>
      <c r="Z8" s="103"/>
      <c r="AA8" s="103">
        <v>123</v>
      </c>
      <c r="AB8" s="103"/>
      <c r="AC8" s="103"/>
      <c r="AD8" s="103"/>
      <c r="AE8" s="103"/>
      <c r="AF8" s="103"/>
      <c r="AG8" s="103"/>
      <c r="AH8" s="103"/>
      <c r="AI8" s="103"/>
      <c r="AJ8" s="103">
        <v>33</v>
      </c>
      <c r="AK8" s="103"/>
      <c r="AL8" s="103"/>
      <c r="AM8" s="103"/>
      <c r="AN8" s="103"/>
      <c r="AO8" s="103"/>
      <c r="AP8" s="103"/>
      <c r="AQ8" s="103"/>
      <c r="AR8" s="103">
        <v>96</v>
      </c>
      <c r="AS8" s="103">
        <v>94</v>
      </c>
      <c r="AT8" s="103">
        <v>376</v>
      </c>
      <c r="AU8" s="103"/>
      <c r="AV8" s="103"/>
      <c r="AW8" s="104" t="str">
        <f>HYPERLINK("http://www.openstreetmap.org/?mlat=34.4063&amp;mlon=41.0946&amp;zoom=12#map=12/34.4063/41.0946","Maplink1")</f>
        <v>Maplink1</v>
      </c>
      <c r="AX8" s="104" t="str">
        <f>HYPERLINK("https://www.google.iq/maps/search/+34.4063,41.0946/@34.4063,41.0946,14z?hl=en","Maplink2")</f>
        <v>Maplink2</v>
      </c>
      <c r="AY8" s="104" t="str">
        <f>HYPERLINK("http://www.bing.com/maps/?lvl=14&amp;sty=h&amp;cp=34.4063~41.0946&amp;sp=point.34.4063_41.0946","Maplink3")</f>
        <v>Maplink3</v>
      </c>
    </row>
    <row r="9" spans="1:51" x14ac:dyDescent="0.2">
      <c r="A9" s="102">
        <v>279</v>
      </c>
      <c r="B9" s="103" t="s">
        <v>29</v>
      </c>
      <c r="C9" s="103" t="s">
        <v>77</v>
      </c>
      <c r="D9" s="103" t="s">
        <v>204</v>
      </c>
      <c r="E9" s="103" t="s">
        <v>205</v>
      </c>
      <c r="F9" s="103">
        <v>34.396459660600001</v>
      </c>
      <c r="G9" s="103">
        <v>41.002744518199997</v>
      </c>
      <c r="H9" s="102">
        <v>245</v>
      </c>
      <c r="I9" s="102">
        <v>1470</v>
      </c>
      <c r="J9" s="103"/>
      <c r="K9" s="103"/>
      <c r="L9" s="103"/>
      <c r="M9" s="103">
        <v>223</v>
      </c>
      <c r="N9" s="103">
        <v>22</v>
      </c>
      <c r="O9" s="103"/>
      <c r="P9" s="103"/>
      <c r="Q9" s="103"/>
      <c r="R9" s="103"/>
      <c r="S9" s="103"/>
      <c r="T9" s="103"/>
      <c r="U9" s="103">
        <v>97</v>
      </c>
      <c r="V9" s="103"/>
      <c r="W9" s="103">
        <v>60</v>
      </c>
      <c r="X9" s="103"/>
      <c r="Y9" s="103"/>
      <c r="Z9" s="103"/>
      <c r="AA9" s="103">
        <v>48</v>
      </c>
      <c r="AB9" s="103"/>
      <c r="AC9" s="103"/>
      <c r="AD9" s="103"/>
      <c r="AE9" s="103"/>
      <c r="AF9" s="103"/>
      <c r="AG9" s="103"/>
      <c r="AH9" s="103"/>
      <c r="AI9" s="103"/>
      <c r="AJ9" s="103">
        <v>40</v>
      </c>
      <c r="AK9" s="103"/>
      <c r="AL9" s="103"/>
      <c r="AM9" s="103"/>
      <c r="AN9" s="103"/>
      <c r="AO9" s="103"/>
      <c r="AP9" s="103"/>
      <c r="AQ9" s="103"/>
      <c r="AR9" s="103">
        <v>24</v>
      </c>
      <c r="AS9" s="103">
        <v>19</v>
      </c>
      <c r="AT9" s="103">
        <v>202</v>
      </c>
      <c r="AU9" s="103"/>
      <c r="AV9" s="103"/>
      <c r="AW9" s="104" t="str">
        <f>HYPERLINK("http://www.openstreetmap.org/?mlat=34.3965&amp;mlon=41.0027&amp;zoom=12#map=12/34.3965/41.0027","Maplink1")</f>
        <v>Maplink1</v>
      </c>
      <c r="AX9" s="104" t="str">
        <f>HYPERLINK("https://www.google.iq/maps/search/+34.3965,41.0027/@34.3965,41.0027,14z?hl=en","Maplink2")</f>
        <v>Maplink2</v>
      </c>
      <c r="AY9" s="104" t="str">
        <f>HYPERLINK("http://www.bing.com/maps/?lvl=14&amp;sty=h&amp;cp=34.3965~41.0027&amp;sp=point.34.3965_41.0027","Maplink3")</f>
        <v>Maplink3</v>
      </c>
    </row>
    <row r="10" spans="1:51" x14ac:dyDescent="0.2">
      <c r="A10" s="102">
        <v>23787</v>
      </c>
      <c r="B10" s="103" t="s">
        <v>29</v>
      </c>
      <c r="C10" s="103" t="s">
        <v>77</v>
      </c>
      <c r="D10" s="103" t="s">
        <v>202</v>
      </c>
      <c r="E10" s="103" t="s">
        <v>203</v>
      </c>
      <c r="F10" s="103">
        <v>34.387692115299998</v>
      </c>
      <c r="G10" s="103">
        <v>40.994298468899999</v>
      </c>
      <c r="H10" s="102">
        <v>402</v>
      </c>
      <c r="I10" s="102">
        <v>2412</v>
      </c>
      <c r="J10" s="103"/>
      <c r="K10" s="103"/>
      <c r="L10" s="103">
        <v>24</v>
      </c>
      <c r="M10" s="103">
        <v>364</v>
      </c>
      <c r="N10" s="103">
        <v>14</v>
      </c>
      <c r="O10" s="103"/>
      <c r="P10" s="103"/>
      <c r="Q10" s="103"/>
      <c r="R10" s="103"/>
      <c r="S10" s="103"/>
      <c r="T10" s="103"/>
      <c r="U10" s="103">
        <v>105</v>
      </c>
      <c r="V10" s="103"/>
      <c r="W10" s="103">
        <v>94</v>
      </c>
      <c r="X10" s="103"/>
      <c r="Y10" s="103"/>
      <c r="Z10" s="103"/>
      <c r="AA10" s="103">
        <v>97</v>
      </c>
      <c r="AB10" s="103"/>
      <c r="AC10" s="103">
        <v>16</v>
      </c>
      <c r="AD10" s="103"/>
      <c r="AE10" s="103"/>
      <c r="AF10" s="103"/>
      <c r="AG10" s="103"/>
      <c r="AH10" s="103"/>
      <c r="AI10" s="103"/>
      <c r="AJ10" s="103">
        <v>90</v>
      </c>
      <c r="AK10" s="103"/>
      <c r="AL10" s="103"/>
      <c r="AM10" s="103"/>
      <c r="AN10" s="103"/>
      <c r="AO10" s="103"/>
      <c r="AP10" s="103"/>
      <c r="AQ10" s="103"/>
      <c r="AR10" s="103">
        <v>63</v>
      </c>
      <c r="AS10" s="103">
        <v>151</v>
      </c>
      <c r="AT10" s="103">
        <v>188</v>
      </c>
      <c r="AU10" s="103"/>
      <c r="AV10" s="103"/>
      <c r="AW10" s="104" t="str">
        <f>HYPERLINK("http://www.openstreetmap.org/?mlat=34.3877&amp;mlon=40.9943&amp;zoom=12#map=12/34.3877/40.9943","Maplink1")</f>
        <v>Maplink1</v>
      </c>
      <c r="AX10" s="104" t="str">
        <f>HYPERLINK("https://www.google.iq/maps/search/+34.3877,40.9943/@34.3877,40.9943,14z?hl=en","Maplink2")</f>
        <v>Maplink2</v>
      </c>
      <c r="AY10" s="104" t="str">
        <f>HYPERLINK("http://www.bing.com/maps/?lvl=14&amp;sty=h&amp;cp=34.3877~40.9943&amp;sp=point.34.3877_40.9943","Maplink3")</f>
        <v>Maplink3</v>
      </c>
    </row>
    <row r="11" spans="1:51" x14ac:dyDescent="0.2">
      <c r="A11" s="102">
        <v>287</v>
      </c>
      <c r="B11" s="103" t="s">
        <v>29</v>
      </c>
      <c r="C11" s="103" t="s">
        <v>77</v>
      </c>
      <c r="D11" s="103" t="s">
        <v>190</v>
      </c>
      <c r="E11" s="103" t="s">
        <v>191</v>
      </c>
      <c r="F11" s="103">
        <v>34.384377220099999</v>
      </c>
      <c r="G11" s="103">
        <v>41.023958609799998</v>
      </c>
      <c r="H11" s="102">
        <v>295</v>
      </c>
      <c r="I11" s="102">
        <v>1770</v>
      </c>
      <c r="J11" s="103"/>
      <c r="K11" s="103"/>
      <c r="L11" s="103">
        <v>17</v>
      </c>
      <c r="M11" s="103">
        <v>261</v>
      </c>
      <c r="N11" s="103">
        <v>17</v>
      </c>
      <c r="O11" s="103"/>
      <c r="P11" s="103"/>
      <c r="Q11" s="103"/>
      <c r="R11" s="103"/>
      <c r="S11" s="103"/>
      <c r="T11" s="103"/>
      <c r="U11" s="103">
        <v>154</v>
      </c>
      <c r="V11" s="103"/>
      <c r="W11" s="103">
        <v>17</v>
      </c>
      <c r="X11" s="103"/>
      <c r="Y11" s="103"/>
      <c r="Z11" s="103"/>
      <c r="AA11" s="103">
        <v>95</v>
      </c>
      <c r="AB11" s="103"/>
      <c r="AC11" s="103"/>
      <c r="AD11" s="103"/>
      <c r="AE11" s="103"/>
      <c r="AF11" s="103"/>
      <c r="AG11" s="103"/>
      <c r="AH11" s="103"/>
      <c r="AI11" s="103"/>
      <c r="AJ11" s="103">
        <v>29</v>
      </c>
      <c r="AK11" s="103"/>
      <c r="AL11" s="103"/>
      <c r="AM11" s="103"/>
      <c r="AN11" s="103"/>
      <c r="AO11" s="103"/>
      <c r="AP11" s="103"/>
      <c r="AQ11" s="103"/>
      <c r="AR11" s="103">
        <v>67</v>
      </c>
      <c r="AS11" s="103">
        <v>126</v>
      </c>
      <c r="AT11" s="103">
        <v>102</v>
      </c>
      <c r="AU11" s="103"/>
      <c r="AV11" s="103"/>
      <c r="AW11" s="104" t="str">
        <f>HYPERLINK("http://www.openstreetmap.org/?mlat=34.3844&amp;mlon=41.024&amp;zoom=12#map=12/34.3844/41.024","Maplink1")</f>
        <v>Maplink1</v>
      </c>
      <c r="AX11" s="104" t="str">
        <f>HYPERLINK("https://www.google.iq/maps/search/+34.3844,41.024/@34.3844,41.024,14z?hl=en","Maplink2")</f>
        <v>Maplink2</v>
      </c>
      <c r="AY11" s="104" t="str">
        <f>HYPERLINK("http://www.bing.com/maps/?lvl=14&amp;sty=h&amp;cp=34.3844~41.024&amp;sp=point.34.3844_41.024","Maplink3")</f>
        <v>Maplink3</v>
      </c>
    </row>
    <row r="12" spans="1:51" x14ac:dyDescent="0.2">
      <c r="A12" s="102">
        <v>274</v>
      </c>
      <c r="B12" s="103" t="s">
        <v>29</v>
      </c>
      <c r="C12" s="103" t="s">
        <v>77</v>
      </c>
      <c r="D12" s="103" t="s">
        <v>162</v>
      </c>
      <c r="E12" s="103" t="s">
        <v>163</v>
      </c>
      <c r="F12" s="103">
        <v>34.423676999999998</v>
      </c>
      <c r="G12" s="103">
        <v>41.039893889399998</v>
      </c>
      <c r="H12" s="102">
        <v>460</v>
      </c>
      <c r="I12" s="102">
        <v>2760</v>
      </c>
      <c r="J12" s="103"/>
      <c r="K12" s="103"/>
      <c r="L12" s="103"/>
      <c r="M12" s="103">
        <v>402</v>
      </c>
      <c r="N12" s="103">
        <v>58</v>
      </c>
      <c r="O12" s="103"/>
      <c r="P12" s="103"/>
      <c r="Q12" s="103"/>
      <c r="R12" s="103"/>
      <c r="S12" s="103"/>
      <c r="T12" s="103"/>
      <c r="U12" s="103">
        <v>264</v>
      </c>
      <c r="V12" s="103"/>
      <c r="W12" s="103">
        <v>65</v>
      </c>
      <c r="X12" s="103"/>
      <c r="Y12" s="103"/>
      <c r="Z12" s="103"/>
      <c r="AA12" s="103">
        <v>95</v>
      </c>
      <c r="AB12" s="103"/>
      <c r="AC12" s="103"/>
      <c r="AD12" s="103"/>
      <c r="AE12" s="103"/>
      <c r="AF12" s="103"/>
      <c r="AG12" s="103"/>
      <c r="AH12" s="103"/>
      <c r="AI12" s="103"/>
      <c r="AJ12" s="103">
        <v>36</v>
      </c>
      <c r="AK12" s="103"/>
      <c r="AL12" s="103"/>
      <c r="AM12" s="103"/>
      <c r="AN12" s="103"/>
      <c r="AO12" s="103"/>
      <c r="AP12" s="103"/>
      <c r="AQ12" s="103"/>
      <c r="AR12" s="103">
        <v>35</v>
      </c>
      <c r="AS12" s="103">
        <v>106</v>
      </c>
      <c r="AT12" s="103">
        <v>319</v>
      </c>
      <c r="AU12" s="103"/>
      <c r="AV12" s="103"/>
      <c r="AW12" s="104" t="str">
        <f>HYPERLINK("http://www.openstreetmap.org/?mlat=34.4237&amp;mlon=41.0399&amp;zoom=12#map=12/34.4237/41.0399","Maplink1")</f>
        <v>Maplink1</v>
      </c>
      <c r="AX12" s="104" t="str">
        <f>HYPERLINK("https://www.google.iq/maps/search/+34.4237,41.0399/@34.4237,41.0399,14z?hl=en","Maplink2")</f>
        <v>Maplink2</v>
      </c>
      <c r="AY12" s="104" t="str">
        <f>HYPERLINK("http://www.bing.com/maps/?lvl=14&amp;sty=h&amp;cp=34.4237~41.0399&amp;sp=point.34.4237_41.0399","Maplink3")</f>
        <v>Maplink3</v>
      </c>
    </row>
    <row r="13" spans="1:51" x14ac:dyDescent="0.2">
      <c r="A13" s="102">
        <v>23792</v>
      </c>
      <c r="B13" s="103" t="s">
        <v>29</v>
      </c>
      <c r="C13" s="103" t="s">
        <v>77</v>
      </c>
      <c r="D13" s="103" t="s">
        <v>182</v>
      </c>
      <c r="E13" s="103" t="s">
        <v>183</v>
      </c>
      <c r="F13" s="103">
        <v>34.380254615699997</v>
      </c>
      <c r="G13" s="103">
        <v>41.050227260299998</v>
      </c>
      <c r="H13" s="102">
        <v>944</v>
      </c>
      <c r="I13" s="102">
        <v>5664</v>
      </c>
      <c r="J13" s="103"/>
      <c r="K13" s="103"/>
      <c r="L13" s="103">
        <v>75</v>
      </c>
      <c r="M13" s="103">
        <v>659</v>
      </c>
      <c r="N13" s="103">
        <v>210</v>
      </c>
      <c r="O13" s="103"/>
      <c r="P13" s="103"/>
      <c r="Q13" s="103"/>
      <c r="R13" s="103"/>
      <c r="S13" s="103"/>
      <c r="T13" s="103"/>
      <c r="U13" s="103">
        <v>206</v>
      </c>
      <c r="V13" s="103"/>
      <c r="W13" s="103">
        <v>255</v>
      </c>
      <c r="X13" s="103"/>
      <c r="Y13" s="103"/>
      <c r="Z13" s="103"/>
      <c r="AA13" s="103">
        <v>260</v>
      </c>
      <c r="AB13" s="103"/>
      <c r="AC13" s="103">
        <v>35</v>
      </c>
      <c r="AD13" s="103"/>
      <c r="AE13" s="103"/>
      <c r="AF13" s="103"/>
      <c r="AG13" s="103"/>
      <c r="AH13" s="103"/>
      <c r="AI13" s="103"/>
      <c r="AJ13" s="103">
        <v>188</v>
      </c>
      <c r="AK13" s="103"/>
      <c r="AL13" s="103"/>
      <c r="AM13" s="103"/>
      <c r="AN13" s="103"/>
      <c r="AO13" s="103"/>
      <c r="AP13" s="103"/>
      <c r="AQ13" s="103">
        <v>130</v>
      </c>
      <c r="AR13" s="103">
        <v>113</v>
      </c>
      <c r="AS13" s="103">
        <v>204</v>
      </c>
      <c r="AT13" s="103">
        <v>497</v>
      </c>
      <c r="AU13" s="103"/>
      <c r="AV13" s="103"/>
      <c r="AW13" s="104" t="str">
        <f>HYPERLINK("http://www.openstreetmap.org/?mlat=34.3803&amp;mlon=41.0502&amp;zoom=12#map=12/34.3803/41.0502","Maplink1")</f>
        <v>Maplink1</v>
      </c>
      <c r="AX13" s="104" t="str">
        <f>HYPERLINK("https://www.google.iq/maps/search/+34.3803,41.0502/@34.3803,41.0502,14z?hl=en","Maplink2")</f>
        <v>Maplink2</v>
      </c>
      <c r="AY13" s="104" t="str">
        <f>HYPERLINK("http://www.bing.com/maps/?lvl=14&amp;sty=h&amp;cp=34.3803~41.0502&amp;sp=point.34.3803_41.0502","Maplink3")</f>
        <v>Maplink3</v>
      </c>
    </row>
    <row r="14" spans="1:51" x14ac:dyDescent="0.2">
      <c r="A14" s="102">
        <v>33816</v>
      </c>
      <c r="B14" s="103" t="s">
        <v>29</v>
      </c>
      <c r="C14" s="103" t="s">
        <v>77</v>
      </c>
      <c r="D14" s="103" t="s">
        <v>184</v>
      </c>
      <c r="E14" s="103" t="s">
        <v>185</v>
      </c>
      <c r="F14" s="103">
        <v>34.411727399999997</v>
      </c>
      <c r="G14" s="103">
        <v>41.004786600000003</v>
      </c>
      <c r="H14" s="102">
        <v>205</v>
      </c>
      <c r="I14" s="102">
        <v>1230</v>
      </c>
      <c r="J14" s="103"/>
      <c r="K14" s="103"/>
      <c r="L14" s="103"/>
      <c r="M14" s="103">
        <v>195</v>
      </c>
      <c r="N14" s="103">
        <v>10</v>
      </c>
      <c r="O14" s="103"/>
      <c r="P14" s="103"/>
      <c r="Q14" s="103"/>
      <c r="R14" s="103"/>
      <c r="S14" s="103"/>
      <c r="T14" s="103"/>
      <c r="U14" s="103"/>
      <c r="V14" s="103"/>
      <c r="W14" s="103">
        <v>105</v>
      </c>
      <c r="X14" s="103"/>
      <c r="Y14" s="103"/>
      <c r="Z14" s="103"/>
      <c r="AA14" s="103">
        <v>65</v>
      </c>
      <c r="AB14" s="103"/>
      <c r="AC14" s="103"/>
      <c r="AD14" s="103"/>
      <c r="AE14" s="103"/>
      <c r="AF14" s="103"/>
      <c r="AG14" s="103"/>
      <c r="AH14" s="103"/>
      <c r="AI14" s="103"/>
      <c r="AJ14" s="103">
        <v>35</v>
      </c>
      <c r="AK14" s="103"/>
      <c r="AL14" s="103"/>
      <c r="AM14" s="103"/>
      <c r="AN14" s="103"/>
      <c r="AO14" s="103"/>
      <c r="AP14" s="103"/>
      <c r="AQ14" s="103"/>
      <c r="AR14" s="103"/>
      <c r="AS14" s="103">
        <v>45</v>
      </c>
      <c r="AT14" s="103">
        <v>160</v>
      </c>
      <c r="AU14" s="103"/>
      <c r="AV14" s="103"/>
      <c r="AW14" s="104" t="str">
        <f>HYPERLINK("http://www.openstreetmap.org/?mlat=34.4117&amp;mlon=41.0048&amp;zoom=12#map=12/34.4117/41.0048","Maplink1")</f>
        <v>Maplink1</v>
      </c>
      <c r="AX14" s="104" t="str">
        <f>HYPERLINK("https://www.google.iq/maps/search/+34.4117,41.0048/@34.4117,41.0048,14z?hl=en","Maplink2")</f>
        <v>Maplink2</v>
      </c>
      <c r="AY14" s="104" t="str">
        <f>HYPERLINK("http://www.bing.com/maps/?lvl=14&amp;sty=h&amp;cp=34.4117~41.0048&amp;sp=point.34.4117_41.0048","Maplink3")</f>
        <v>Maplink3</v>
      </c>
    </row>
    <row r="15" spans="1:51" x14ac:dyDescent="0.2">
      <c r="A15" s="102">
        <v>277</v>
      </c>
      <c r="B15" s="103" t="s">
        <v>29</v>
      </c>
      <c r="C15" s="103" t="s">
        <v>77</v>
      </c>
      <c r="D15" s="103" t="s">
        <v>146</v>
      </c>
      <c r="E15" s="103" t="s">
        <v>147</v>
      </c>
      <c r="F15" s="103">
        <v>34.393621326800002</v>
      </c>
      <c r="G15" s="103">
        <v>41.0004309957</v>
      </c>
      <c r="H15" s="102">
        <v>1364</v>
      </c>
      <c r="I15" s="102">
        <v>8184</v>
      </c>
      <c r="J15" s="103"/>
      <c r="K15" s="103"/>
      <c r="L15" s="103"/>
      <c r="M15" s="103">
        <v>1114</v>
      </c>
      <c r="N15" s="103">
        <v>250</v>
      </c>
      <c r="O15" s="103"/>
      <c r="P15" s="103"/>
      <c r="Q15" s="103"/>
      <c r="R15" s="103"/>
      <c r="S15" s="103"/>
      <c r="T15" s="103"/>
      <c r="U15" s="103">
        <v>136</v>
      </c>
      <c r="V15" s="103">
        <v>65</v>
      </c>
      <c r="W15" s="103">
        <v>514</v>
      </c>
      <c r="X15" s="103"/>
      <c r="Y15" s="103"/>
      <c r="Z15" s="103"/>
      <c r="AA15" s="103">
        <v>387</v>
      </c>
      <c r="AB15" s="103"/>
      <c r="AC15" s="103">
        <v>45</v>
      </c>
      <c r="AD15" s="103"/>
      <c r="AE15" s="103"/>
      <c r="AF15" s="103"/>
      <c r="AG15" s="103"/>
      <c r="AH15" s="103"/>
      <c r="AI15" s="103"/>
      <c r="AJ15" s="103">
        <v>217</v>
      </c>
      <c r="AK15" s="103"/>
      <c r="AL15" s="103"/>
      <c r="AM15" s="103"/>
      <c r="AN15" s="103"/>
      <c r="AO15" s="103"/>
      <c r="AP15" s="103"/>
      <c r="AQ15" s="103">
        <v>180</v>
      </c>
      <c r="AR15" s="103">
        <v>250</v>
      </c>
      <c r="AS15" s="103">
        <v>350</v>
      </c>
      <c r="AT15" s="103">
        <v>584</v>
      </c>
      <c r="AU15" s="103"/>
      <c r="AV15" s="103"/>
      <c r="AW15" s="104" t="str">
        <f>HYPERLINK("http://www.openstreetmap.org/?mlat=34.3936&amp;mlon=41.0004&amp;zoom=12#map=12/34.3936/41.0004","Maplink1")</f>
        <v>Maplink1</v>
      </c>
      <c r="AX15" s="104" t="str">
        <f>HYPERLINK("https://www.google.iq/maps/search/+34.3936,41.0004/@34.3936,41.0004,14z?hl=en","Maplink2")</f>
        <v>Maplink2</v>
      </c>
      <c r="AY15" s="104" t="str">
        <f>HYPERLINK("http://www.bing.com/maps/?lvl=14&amp;sty=h&amp;cp=34.3936~41.0004&amp;sp=point.34.3936_41.0004","Maplink3")</f>
        <v>Maplink3</v>
      </c>
    </row>
    <row r="16" spans="1:51" x14ac:dyDescent="0.2">
      <c r="A16" s="102">
        <v>268</v>
      </c>
      <c r="B16" s="103" t="s">
        <v>29</v>
      </c>
      <c r="C16" s="103" t="s">
        <v>77</v>
      </c>
      <c r="D16" s="103" t="s">
        <v>148</v>
      </c>
      <c r="E16" s="103" t="s">
        <v>149</v>
      </c>
      <c r="F16" s="103">
        <v>34.393181896999998</v>
      </c>
      <c r="G16" s="103">
        <v>40.9958674453</v>
      </c>
      <c r="H16" s="102">
        <v>401</v>
      </c>
      <c r="I16" s="102">
        <v>2406</v>
      </c>
      <c r="J16" s="103"/>
      <c r="K16" s="103"/>
      <c r="L16" s="103"/>
      <c r="M16" s="103">
        <v>367</v>
      </c>
      <c r="N16" s="103">
        <v>34</v>
      </c>
      <c r="O16" s="103"/>
      <c r="P16" s="103"/>
      <c r="Q16" s="103"/>
      <c r="R16" s="103"/>
      <c r="S16" s="103"/>
      <c r="T16" s="103"/>
      <c r="U16" s="103">
        <v>124</v>
      </c>
      <c r="V16" s="103"/>
      <c r="W16" s="103">
        <v>102</v>
      </c>
      <c r="X16" s="103"/>
      <c r="Y16" s="103"/>
      <c r="Z16" s="103"/>
      <c r="AA16" s="103">
        <v>90</v>
      </c>
      <c r="AB16" s="103"/>
      <c r="AC16" s="103"/>
      <c r="AD16" s="103"/>
      <c r="AE16" s="103"/>
      <c r="AF16" s="103"/>
      <c r="AG16" s="103"/>
      <c r="AH16" s="103"/>
      <c r="AI16" s="103"/>
      <c r="AJ16" s="103">
        <v>85</v>
      </c>
      <c r="AK16" s="103"/>
      <c r="AL16" s="103"/>
      <c r="AM16" s="103"/>
      <c r="AN16" s="103"/>
      <c r="AO16" s="103"/>
      <c r="AP16" s="103"/>
      <c r="AQ16" s="103"/>
      <c r="AR16" s="103">
        <v>125</v>
      </c>
      <c r="AS16" s="103">
        <v>125</v>
      </c>
      <c r="AT16" s="103">
        <v>151</v>
      </c>
      <c r="AU16" s="103"/>
      <c r="AV16" s="103"/>
      <c r="AW16" s="104" t="str">
        <f>HYPERLINK("http://www.openstreetmap.org/?mlat=34.3932&amp;mlon=40.9959&amp;zoom=12#map=12/34.3932/40.9959","Maplink1")</f>
        <v>Maplink1</v>
      </c>
      <c r="AX16" s="104" t="str">
        <f>HYPERLINK("https://www.google.iq/maps/search/+34.3932,40.9959/@34.3932,40.9959,14z?hl=en","Maplink2")</f>
        <v>Maplink2</v>
      </c>
      <c r="AY16" s="104" t="str">
        <f>HYPERLINK("http://www.bing.com/maps/?lvl=14&amp;sty=h&amp;cp=34.3932~40.9959&amp;sp=point.34.3932_40.9959","Maplink3")</f>
        <v>Maplink3</v>
      </c>
    </row>
    <row r="17" spans="1:51" x14ac:dyDescent="0.2">
      <c r="A17" s="102">
        <v>23796</v>
      </c>
      <c r="B17" s="103" t="s">
        <v>29</v>
      </c>
      <c r="C17" s="103" t="s">
        <v>77</v>
      </c>
      <c r="D17" s="103" t="s">
        <v>150</v>
      </c>
      <c r="E17" s="103" t="s">
        <v>151</v>
      </c>
      <c r="F17" s="103">
        <v>34.394881995600002</v>
      </c>
      <c r="G17" s="103">
        <v>41.076651039600002</v>
      </c>
      <c r="H17" s="102">
        <v>359</v>
      </c>
      <c r="I17" s="102">
        <v>2154</v>
      </c>
      <c r="J17" s="103"/>
      <c r="K17" s="103"/>
      <c r="L17" s="103"/>
      <c r="M17" s="103">
        <v>312</v>
      </c>
      <c r="N17" s="103">
        <v>47</v>
      </c>
      <c r="O17" s="103"/>
      <c r="P17" s="103"/>
      <c r="Q17" s="103"/>
      <c r="R17" s="103"/>
      <c r="S17" s="103"/>
      <c r="T17" s="103"/>
      <c r="U17" s="103">
        <v>139</v>
      </c>
      <c r="V17" s="103"/>
      <c r="W17" s="103">
        <v>90</v>
      </c>
      <c r="X17" s="103"/>
      <c r="Y17" s="103"/>
      <c r="Z17" s="103"/>
      <c r="AA17" s="103">
        <v>95</v>
      </c>
      <c r="AB17" s="103"/>
      <c r="AC17" s="103"/>
      <c r="AD17" s="103"/>
      <c r="AE17" s="103"/>
      <c r="AF17" s="103"/>
      <c r="AG17" s="103"/>
      <c r="AH17" s="103"/>
      <c r="AI17" s="103"/>
      <c r="AJ17" s="103">
        <v>35</v>
      </c>
      <c r="AK17" s="103"/>
      <c r="AL17" s="103"/>
      <c r="AM17" s="103"/>
      <c r="AN17" s="103"/>
      <c r="AO17" s="103"/>
      <c r="AP17" s="103"/>
      <c r="AQ17" s="103"/>
      <c r="AR17" s="103">
        <v>35</v>
      </c>
      <c r="AS17" s="103">
        <v>50</v>
      </c>
      <c r="AT17" s="103">
        <v>274</v>
      </c>
      <c r="AU17" s="103"/>
      <c r="AV17" s="103"/>
      <c r="AW17" s="104" t="str">
        <f>HYPERLINK("http://www.openstreetmap.org/?mlat=34.3949&amp;mlon=41.0767&amp;zoom=12#map=12/34.3949/41.0767","Maplink1")</f>
        <v>Maplink1</v>
      </c>
      <c r="AX17" s="104" t="str">
        <f>HYPERLINK("https://www.google.iq/maps/search/+34.3949,41.0767/@34.3949,41.0767,14z?hl=en","Maplink2")</f>
        <v>Maplink2</v>
      </c>
      <c r="AY17" s="104" t="str">
        <f>HYPERLINK("http://www.bing.com/maps/?lvl=14&amp;sty=h&amp;cp=34.3949~41.0767&amp;sp=point.34.3949_41.0767","Maplink3")</f>
        <v>Maplink3</v>
      </c>
    </row>
    <row r="18" spans="1:51" x14ac:dyDescent="0.2">
      <c r="A18" s="102">
        <v>272</v>
      </c>
      <c r="B18" s="103" t="s">
        <v>29</v>
      </c>
      <c r="C18" s="103" t="s">
        <v>77</v>
      </c>
      <c r="D18" s="103" t="s">
        <v>152</v>
      </c>
      <c r="E18" s="103" t="s">
        <v>153</v>
      </c>
      <c r="F18" s="103">
        <v>34.392088330299998</v>
      </c>
      <c r="G18" s="103">
        <v>40.985045987399999</v>
      </c>
      <c r="H18" s="102">
        <v>614</v>
      </c>
      <c r="I18" s="102">
        <v>3684</v>
      </c>
      <c r="J18" s="103"/>
      <c r="K18" s="103"/>
      <c r="L18" s="103"/>
      <c r="M18" s="103">
        <v>545</v>
      </c>
      <c r="N18" s="103">
        <v>69</v>
      </c>
      <c r="O18" s="103"/>
      <c r="P18" s="103"/>
      <c r="Q18" s="103"/>
      <c r="R18" s="103"/>
      <c r="S18" s="103"/>
      <c r="T18" s="103"/>
      <c r="U18" s="103">
        <v>200</v>
      </c>
      <c r="V18" s="103"/>
      <c r="W18" s="103">
        <v>127</v>
      </c>
      <c r="X18" s="103"/>
      <c r="Y18" s="103"/>
      <c r="Z18" s="103"/>
      <c r="AA18" s="103">
        <v>190</v>
      </c>
      <c r="AB18" s="103"/>
      <c r="AC18" s="103">
        <v>17</v>
      </c>
      <c r="AD18" s="103"/>
      <c r="AE18" s="103"/>
      <c r="AF18" s="103"/>
      <c r="AG18" s="103"/>
      <c r="AH18" s="103"/>
      <c r="AI18" s="103"/>
      <c r="AJ18" s="103">
        <v>80</v>
      </c>
      <c r="AK18" s="103"/>
      <c r="AL18" s="103"/>
      <c r="AM18" s="103"/>
      <c r="AN18" s="103"/>
      <c r="AO18" s="103"/>
      <c r="AP18" s="103"/>
      <c r="AQ18" s="103"/>
      <c r="AR18" s="103">
        <v>119</v>
      </c>
      <c r="AS18" s="103">
        <v>151</v>
      </c>
      <c r="AT18" s="103">
        <v>344</v>
      </c>
      <c r="AU18" s="103"/>
      <c r="AV18" s="103"/>
      <c r="AW18" s="104" t="str">
        <f>HYPERLINK("http://www.openstreetmap.org/?mlat=34.3921&amp;mlon=40.985&amp;zoom=12#map=12/34.3921/40.985","Maplink1")</f>
        <v>Maplink1</v>
      </c>
      <c r="AX18" s="104" t="str">
        <f>HYPERLINK("https://www.google.iq/maps/search/+34.3921,40.985/@34.3921,40.985,14z?hl=en","Maplink2")</f>
        <v>Maplink2</v>
      </c>
      <c r="AY18" s="104" t="str">
        <f>HYPERLINK("http://www.bing.com/maps/?lvl=14&amp;sty=h&amp;cp=34.3921~40.985&amp;sp=point.34.3921_40.985","Maplink3")</f>
        <v>Maplink3</v>
      </c>
    </row>
    <row r="19" spans="1:51" x14ac:dyDescent="0.2">
      <c r="A19" s="102">
        <v>164</v>
      </c>
      <c r="B19" s="103" t="s">
        <v>29</v>
      </c>
      <c r="C19" s="103" t="s">
        <v>77</v>
      </c>
      <c r="D19" s="103" t="s">
        <v>186</v>
      </c>
      <c r="E19" s="103" t="s">
        <v>187</v>
      </c>
      <c r="F19" s="103">
        <v>34.436798528600001</v>
      </c>
      <c r="G19" s="103">
        <v>41.232675224600001</v>
      </c>
      <c r="H19" s="102">
        <v>341</v>
      </c>
      <c r="I19" s="102">
        <v>2046</v>
      </c>
      <c r="J19" s="103"/>
      <c r="K19" s="103"/>
      <c r="L19" s="103"/>
      <c r="M19" s="103">
        <v>303</v>
      </c>
      <c r="N19" s="103">
        <v>38</v>
      </c>
      <c r="O19" s="103"/>
      <c r="P19" s="103"/>
      <c r="Q19" s="103"/>
      <c r="R19" s="103"/>
      <c r="S19" s="103"/>
      <c r="T19" s="103"/>
      <c r="U19" s="103">
        <v>144</v>
      </c>
      <c r="V19" s="103"/>
      <c r="W19" s="103">
        <v>71</v>
      </c>
      <c r="X19" s="103"/>
      <c r="Y19" s="103"/>
      <c r="Z19" s="103"/>
      <c r="AA19" s="103">
        <v>78</v>
      </c>
      <c r="AB19" s="103"/>
      <c r="AC19" s="103"/>
      <c r="AD19" s="103"/>
      <c r="AE19" s="103"/>
      <c r="AF19" s="103"/>
      <c r="AG19" s="103"/>
      <c r="AH19" s="103"/>
      <c r="AI19" s="103"/>
      <c r="AJ19" s="103">
        <v>48</v>
      </c>
      <c r="AK19" s="103"/>
      <c r="AL19" s="103"/>
      <c r="AM19" s="103"/>
      <c r="AN19" s="103"/>
      <c r="AO19" s="103"/>
      <c r="AP19" s="103"/>
      <c r="AQ19" s="103"/>
      <c r="AR19" s="103">
        <v>46</v>
      </c>
      <c r="AS19" s="103">
        <v>204</v>
      </c>
      <c r="AT19" s="103">
        <v>91</v>
      </c>
      <c r="AU19" s="103"/>
      <c r="AV19" s="103"/>
      <c r="AW19" s="104" t="str">
        <f>HYPERLINK("http://www.openstreetmap.org/?mlat=34.4368&amp;mlon=41.2327&amp;zoom=12#map=12/34.4368/41.2327","Maplink1")</f>
        <v>Maplink1</v>
      </c>
      <c r="AX19" s="104" t="str">
        <f>HYPERLINK("https://www.google.iq/maps/search/+34.4368,41.2327/@34.4368,41.2327,14z?hl=en","Maplink2")</f>
        <v>Maplink2</v>
      </c>
      <c r="AY19" s="104" t="str">
        <f>HYPERLINK("http://www.bing.com/maps/?lvl=14&amp;sty=h&amp;cp=34.4368~41.2327&amp;sp=point.34.4368_41.2327","Maplink3")</f>
        <v>Maplink3</v>
      </c>
    </row>
    <row r="20" spans="1:51" x14ac:dyDescent="0.2">
      <c r="A20" s="102">
        <v>66</v>
      </c>
      <c r="B20" s="103" t="s">
        <v>29</v>
      </c>
      <c r="C20" s="103" t="s">
        <v>77</v>
      </c>
      <c r="D20" s="103" t="s">
        <v>188</v>
      </c>
      <c r="E20" s="103" t="s">
        <v>189</v>
      </c>
      <c r="F20" s="103">
        <v>34.369955735700003</v>
      </c>
      <c r="G20" s="103">
        <v>41.0928104073</v>
      </c>
      <c r="H20" s="102">
        <v>750</v>
      </c>
      <c r="I20" s="102">
        <v>4500</v>
      </c>
      <c r="J20" s="103"/>
      <c r="K20" s="103"/>
      <c r="L20" s="103">
        <v>23</v>
      </c>
      <c r="M20" s="103">
        <v>664</v>
      </c>
      <c r="N20" s="103">
        <v>63</v>
      </c>
      <c r="O20" s="103"/>
      <c r="P20" s="103"/>
      <c r="Q20" s="103"/>
      <c r="R20" s="103"/>
      <c r="S20" s="103"/>
      <c r="T20" s="103"/>
      <c r="U20" s="103">
        <v>169</v>
      </c>
      <c r="V20" s="103"/>
      <c r="W20" s="103">
        <v>269</v>
      </c>
      <c r="X20" s="103"/>
      <c r="Y20" s="103"/>
      <c r="Z20" s="103"/>
      <c r="AA20" s="103">
        <v>201</v>
      </c>
      <c r="AB20" s="103"/>
      <c r="AC20" s="103">
        <v>11</v>
      </c>
      <c r="AD20" s="103"/>
      <c r="AE20" s="103"/>
      <c r="AF20" s="103"/>
      <c r="AG20" s="103"/>
      <c r="AH20" s="103"/>
      <c r="AI20" s="103"/>
      <c r="AJ20" s="103">
        <v>100</v>
      </c>
      <c r="AK20" s="103"/>
      <c r="AL20" s="103"/>
      <c r="AM20" s="103"/>
      <c r="AN20" s="103"/>
      <c r="AO20" s="103"/>
      <c r="AP20" s="103"/>
      <c r="AQ20" s="103">
        <v>76</v>
      </c>
      <c r="AR20" s="103">
        <v>80</v>
      </c>
      <c r="AS20" s="103">
        <v>232</v>
      </c>
      <c r="AT20" s="103">
        <v>362</v>
      </c>
      <c r="AU20" s="103"/>
      <c r="AV20" s="103"/>
      <c r="AW20" s="104" t="str">
        <f>HYPERLINK("http://www.openstreetmap.org/?mlat=34.37&amp;mlon=41.0928&amp;zoom=12#map=12/34.37/41.0928","Maplink1")</f>
        <v>Maplink1</v>
      </c>
      <c r="AX20" s="104" t="str">
        <f>HYPERLINK("https://www.google.iq/maps/search/+34.37,41.0928/@34.37,41.0928,14z?hl=en","Maplink2")</f>
        <v>Maplink2</v>
      </c>
      <c r="AY20" s="104" t="str">
        <f>HYPERLINK("http://www.bing.com/maps/?lvl=14&amp;sty=h&amp;cp=34.37~41.0928&amp;sp=point.34.37_41.0928","Maplink3")</f>
        <v>Maplink3</v>
      </c>
    </row>
    <row r="21" spans="1:51" x14ac:dyDescent="0.2">
      <c r="A21" s="102">
        <v>276</v>
      </c>
      <c r="B21" s="103" t="s">
        <v>29</v>
      </c>
      <c r="C21" s="103" t="s">
        <v>77</v>
      </c>
      <c r="D21" s="103" t="s">
        <v>216</v>
      </c>
      <c r="E21" s="103" t="s">
        <v>217</v>
      </c>
      <c r="F21" s="103">
        <v>34.393548812799999</v>
      </c>
      <c r="G21" s="103">
        <v>40.990884372799997</v>
      </c>
      <c r="H21" s="102">
        <v>434</v>
      </c>
      <c r="I21" s="102">
        <v>2604</v>
      </c>
      <c r="J21" s="103"/>
      <c r="K21" s="103"/>
      <c r="L21" s="103"/>
      <c r="M21" s="103">
        <v>410</v>
      </c>
      <c r="N21" s="103">
        <v>24</v>
      </c>
      <c r="O21" s="103"/>
      <c r="P21" s="103"/>
      <c r="Q21" s="103"/>
      <c r="R21" s="103"/>
      <c r="S21" s="103"/>
      <c r="T21" s="103"/>
      <c r="U21" s="103">
        <v>118</v>
      </c>
      <c r="V21" s="103">
        <v>8</v>
      </c>
      <c r="W21" s="103">
        <v>119</v>
      </c>
      <c r="X21" s="103"/>
      <c r="Y21" s="103"/>
      <c r="Z21" s="103"/>
      <c r="AA21" s="103">
        <v>115</v>
      </c>
      <c r="AB21" s="103"/>
      <c r="AC21" s="103">
        <v>14</v>
      </c>
      <c r="AD21" s="103"/>
      <c r="AE21" s="103"/>
      <c r="AF21" s="103"/>
      <c r="AG21" s="103"/>
      <c r="AH21" s="103"/>
      <c r="AI21" s="103"/>
      <c r="AJ21" s="103">
        <v>60</v>
      </c>
      <c r="AK21" s="103"/>
      <c r="AL21" s="103"/>
      <c r="AM21" s="103"/>
      <c r="AN21" s="103"/>
      <c r="AO21" s="103"/>
      <c r="AP21" s="103"/>
      <c r="AQ21" s="103"/>
      <c r="AR21" s="103">
        <v>104</v>
      </c>
      <c r="AS21" s="103">
        <v>194</v>
      </c>
      <c r="AT21" s="103">
        <v>136</v>
      </c>
      <c r="AU21" s="103"/>
      <c r="AV21" s="103"/>
      <c r="AW21" s="104" t="str">
        <f>HYPERLINK("http://www.openstreetmap.org/?mlat=34.3935&amp;mlon=40.9909&amp;zoom=12#map=12/34.3935/40.9909","Maplink1")</f>
        <v>Maplink1</v>
      </c>
      <c r="AX21" s="104" t="str">
        <f>HYPERLINK("https://www.google.iq/maps/search/+34.3935,40.9909/@34.3935,40.9909,14z?hl=en","Maplink2")</f>
        <v>Maplink2</v>
      </c>
      <c r="AY21" s="104" t="str">
        <f>HYPERLINK("http://www.bing.com/maps/?lvl=14&amp;sty=h&amp;cp=34.3935~40.9909&amp;sp=point.34.3935_40.9909","Maplink3")</f>
        <v>Maplink3</v>
      </c>
    </row>
    <row r="22" spans="1:51" x14ac:dyDescent="0.2">
      <c r="A22" s="102">
        <v>23647</v>
      </c>
      <c r="B22" s="103" t="s">
        <v>29</v>
      </c>
      <c r="C22" s="103" t="s">
        <v>77</v>
      </c>
      <c r="D22" s="103" t="s">
        <v>160</v>
      </c>
      <c r="E22" s="103" t="s">
        <v>161</v>
      </c>
      <c r="F22" s="103">
        <v>34.420203306499999</v>
      </c>
      <c r="G22" s="103">
        <v>41.201494357400001</v>
      </c>
      <c r="H22" s="102">
        <v>603</v>
      </c>
      <c r="I22" s="102">
        <v>3618</v>
      </c>
      <c r="J22" s="103"/>
      <c r="K22" s="103"/>
      <c r="L22" s="103"/>
      <c r="M22" s="103">
        <v>548</v>
      </c>
      <c r="N22" s="103">
        <v>55</v>
      </c>
      <c r="O22" s="103"/>
      <c r="P22" s="103"/>
      <c r="Q22" s="103"/>
      <c r="R22" s="103"/>
      <c r="S22" s="103"/>
      <c r="T22" s="103"/>
      <c r="U22" s="103">
        <v>125</v>
      </c>
      <c r="V22" s="103"/>
      <c r="W22" s="103">
        <v>149</v>
      </c>
      <c r="X22" s="103"/>
      <c r="Y22" s="103"/>
      <c r="Z22" s="103"/>
      <c r="AA22" s="103">
        <v>227</v>
      </c>
      <c r="AB22" s="103"/>
      <c r="AC22" s="103">
        <v>25</v>
      </c>
      <c r="AD22" s="103"/>
      <c r="AE22" s="103"/>
      <c r="AF22" s="103"/>
      <c r="AG22" s="103"/>
      <c r="AH22" s="103"/>
      <c r="AI22" s="103"/>
      <c r="AJ22" s="103">
        <v>77</v>
      </c>
      <c r="AK22" s="103"/>
      <c r="AL22" s="103"/>
      <c r="AM22" s="103"/>
      <c r="AN22" s="103"/>
      <c r="AO22" s="103"/>
      <c r="AP22" s="103"/>
      <c r="AQ22" s="103">
        <v>37</v>
      </c>
      <c r="AR22" s="103">
        <v>20</v>
      </c>
      <c r="AS22" s="103">
        <v>317</v>
      </c>
      <c r="AT22" s="103">
        <v>229</v>
      </c>
      <c r="AU22" s="103"/>
      <c r="AV22" s="103"/>
      <c r="AW22" s="104" t="str">
        <f>HYPERLINK("http://www.openstreetmap.org/?mlat=34.4202&amp;mlon=41.2015&amp;zoom=12#map=12/34.4202/41.2015","Maplink1")</f>
        <v>Maplink1</v>
      </c>
      <c r="AX22" s="104" t="str">
        <f>HYPERLINK("https://www.google.iq/maps/search/+34.4202,41.2015/@34.4202,41.2015,14z?hl=en","Maplink2")</f>
        <v>Maplink2</v>
      </c>
      <c r="AY22" s="104" t="str">
        <f>HYPERLINK("http://www.bing.com/maps/?lvl=14&amp;sty=h&amp;cp=34.4202~41.2015&amp;sp=point.34.4202_41.2015","Maplink3")</f>
        <v>Maplink3</v>
      </c>
    </row>
    <row r="23" spans="1:51" x14ac:dyDescent="0.2">
      <c r="A23" s="102">
        <v>271</v>
      </c>
      <c r="B23" s="103" t="s">
        <v>29</v>
      </c>
      <c r="C23" s="103" t="s">
        <v>77</v>
      </c>
      <c r="D23" s="103" t="s">
        <v>200</v>
      </c>
      <c r="E23" s="103" t="s">
        <v>201</v>
      </c>
      <c r="F23" s="103">
        <v>34.387714225000003</v>
      </c>
      <c r="G23" s="103">
        <v>40.975932514900002</v>
      </c>
      <c r="H23" s="102">
        <v>161</v>
      </c>
      <c r="I23" s="102">
        <v>966</v>
      </c>
      <c r="J23" s="103"/>
      <c r="K23" s="103"/>
      <c r="L23" s="103"/>
      <c r="M23" s="103">
        <v>133</v>
      </c>
      <c r="N23" s="103">
        <v>28</v>
      </c>
      <c r="O23" s="103"/>
      <c r="P23" s="103"/>
      <c r="Q23" s="103"/>
      <c r="R23" s="103"/>
      <c r="S23" s="103"/>
      <c r="T23" s="103"/>
      <c r="U23" s="103">
        <v>54</v>
      </c>
      <c r="V23" s="103"/>
      <c r="W23" s="103">
        <v>75</v>
      </c>
      <c r="X23" s="103"/>
      <c r="Y23" s="103"/>
      <c r="Z23" s="103"/>
      <c r="AA23" s="103">
        <v>27</v>
      </c>
      <c r="AB23" s="103"/>
      <c r="AC23" s="103"/>
      <c r="AD23" s="103"/>
      <c r="AE23" s="103"/>
      <c r="AF23" s="103"/>
      <c r="AG23" s="103"/>
      <c r="AH23" s="103"/>
      <c r="AI23" s="103"/>
      <c r="AJ23" s="103">
        <v>5</v>
      </c>
      <c r="AK23" s="103"/>
      <c r="AL23" s="103"/>
      <c r="AM23" s="103"/>
      <c r="AN23" s="103"/>
      <c r="AO23" s="103"/>
      <c r="AP23" s="103"/>
      <c r="AQ23" s="103"/>
      <c r="AR23" s="103">
        <v>40</v>
      </c>
      <c r="AS23" s="103">
        <v>55</v>
      </c>
      <c r="AT23" s="103">
        <v>66</v>
      </c>
      <c r="AU23" s="103"/>
      <c r="AV23" s="103"/>
      <c r="AW23" s="104" t="str">
        <f>HYPERLINK("http://www.openstreetmap.org/?mlat=34.3877&amp;mlon=40.9759&amp;zoom=12#map=12/34.3877/40.9759","Maplink1")</f>
        <v>Maplink1</v>
      </c>
      <c r="AX23" s="104" t="str">
        <f>HYPERLINK("https://www.google.iq/maps/search/+34.3877,40.9759/@34.3877,40.9759,14z?hl=en","Maplink2")</f>
        <v>Maplink2</v>
      </c>
      <c r="AY23" s="104" t="str">
        <f>HYPERLINK("http://www.bing.com/maps/?lvl=14&amp;sty=h&amp;cp=34.3877~40.9759&amp;sp=point.34.3877_40.9759","Maplink3")</f>
        <v>Maplink3</v>
      </c>
    </row>
    <row r="24" spans="1:51" x14ac:dyDescent="0.2">
      <c r="A24" s="102">
        <v>23793</v>
      </c>
      <c r="B24" s="103" t="s">
        <v>29</v>
      </c>
      <c r="C24" s="103" t="s">
        <v>77</v>
      </c>
      <c r="D24" s="103" t="s">
        <v>194</v>
      </c>
      <c r="E24" s="103" t="s">
        <v>195</v>
      </c>
      <c r="F24" s="103">
        <v>34.388792874099998</v>
      </c>
      <c r="G24" s="103">
        <v>41.022202437899999</v>
      </c>
      <c r="H24" s="102">
        <v>245</v>
      </c>
      <c r="I24" s="102">
        <v>1470</v>
      </c>
      <c r="J24" s="103"/>
      <c r="K24" s="103"/>
      <c r="L24" s="103">
        <v>25</v>
      </c>
      <c r="M24" s="103">
        <v>208</v>
      </c>
      <c r="N24" s="103">
        <v>12</v>
      </c>
      <c r="O24" s="103"/>
      <c r="P24" s="103"/>
      <c r="Q24" s="103"/>
      <c r="R24" s="103"/>
      <c r="S24" s="103"/>
      <c r="T24" s="103"/>
      <c r="U24" s="103">
        <v>149</v>
      </c>
      <c r="V24" s="103"/>
      <c r="W24" s="103">
        <v>30</v>
      </c>
      <c r="X24" s="103"/>
      <c r="Y24" s="103"/>
      <c r="Z24" s="103"/>
      <c r="AA24" s="103">
        <v>25</v>
      </c>
      <c r="AB24" s="103"/>
      <c r="AC24" s="103"/>
      <c r="AD24" s="103"/>
      <c r="AE24" s="103"/>
      <c r="AF24" s="103"/>
      <c r="AG24" s="103"/>
      <c r="AH24" s="103"/>
      <c r="AI24" s="103"/>
      <c r="AJ24" s="103">
        <v>41</v>
      </c>
      <c r="AK24" s="103"/>
      <c r="AL24" s="103"/>
      <c r="AM24" s="103"/>
      <c r="AN24" s="103"/>
      <c r="AO24" s="103"/>
      <c r="AP24" s="103"/>
      <c r="AQ24" s="103"/>
      <c r="AR24" s="103">
        <v>30</v>
      </c>
      <c r="AS24" s="103">
        <v>42</v>
      </c>
      <c r="AT24" s="103">
        <v>173</v>
      </c>
      <c r="AU24" s="103"/>
      <c r="AV24" s="103"/>
      <c r="AW24" s="104" t="str">
        <f>HYPERLINK("http://www.openstreetmap.org/?mlat=34.3888&amp;mlon=41.0222&amp;zoom=12#map=12/34.3888/41.0222","Maplink1")</f>
        <v>Maplink1</v>
      </c>
      <c r="AX24" s="104" t="str">
        <f>HYPERLINK("https://www.google.iq/maps/search/+34.3888,41.0222/@34.3888,41.0222,14z?hl=en","Maplink2")</f>
        <v>Maplink2</v>
      </c>
      <c r="AY24" s="104" t="str">
        <f>HYPERLINK("http://www.bing.com/maps/?lvl=14&amp;sty=h&amp;cp=34.3888~41.0222&amp;sp=point.34.3888_41.0222","Maplink3")</f>
        <v>Maplink3</v>
      </c>
    </row>
    <row r="25" spans="1:51" x14ac:dyDescent="0.2">
      <c r="A25" s="102">
        <v>23791</v>
      </c>
      <c r="B25" s="103" t="s">
        <v>29</v>
      </c>
      <c r="C25" s="103" t="s">
        <v>77</v>
      </c>
      <c r="D25" s="103" t="s">
        <v>154</v>
      </c>
      <c r="E25" s="103" t="s">
        <v>155</v>
      </c>
      <c r="F25" s="103">
        <v>34.368278944099998</v>
      </c>
      <c r="G25" s="103">
        <v>41.057757478699997</v>
      </c>
      <c r="H25" s="102">
        <v>459</v>
      </c>
      <c r="I25" s="102">
        <v>2754</v>
      </c>
      <c r="J25" s="103"/>
      <c r="K25" s="103"/>
      <c r="L25" s="103">
        <v>26</v>
      </c>
      <c r="M25" s="103">
        <v>315</v>
      </c>
      <c r="N25" s="103">
        <v>118</v>
      </c>
      <c r="O25" s="103"/>
      <c r="P25" s="103"/>
      <c r="Q25" s="103"/>
      <c r="R25" s="103"/>
      <c r="S25" s="103"/>
      <c r="T25" s="103"/>
      <c r="U25" s="103">
        <v>210</v>
      </c>
      <c r="V25" s="103"/>
      <c r="W25" s="103">
        <v>149</v>
      </c>
      <c r="X25" s="103"/>
      <c r="Y25" s="103"/>
      <c r="Z25" s="103"/>
      <c r="AA25" s="103">
        <v>85</v>
      </c>
      <c r="AB25" s="103"/>
      <c r="AC25" s="103"/>
      <c r="AD25" s="103"/>
      <c r="AE25" s="103"/>
      <c r="AF25" s="103"/>
      <c r="AG25" s="103"/>
      <c r="AH25" s="103"/>
      <c r="AI25" s="103"/>
      <c r="AJ25" s="103">
        <v>15</v>
      </c>
      <c r="AK25" s="103"/>
      <c r="AL25" s="103"/>
      <c r="AM25" s="103"/>
      <c r="AN25" s="103"/>
      <c r="AO25" s="103"/>
      <c r="AP25" s="103"/>
      <c r="AQ25" s="103"/>
      <c r="AR25" s="103">
        <v>112</v>
      </c>
      <c r="AS25" s="103">
        <v>153</v>
      </c>
      <c r="AT25" s="103">
        <v>194</v>
      </c>
      <c r="AU25" s="103"/>
      <c r="AV25" s="103"/>
      <c r="AW25" s="104" t="str">
        <f>HYPERLINK("http://www.openstreetmap.org/?mlat=34.3683&amp;mlon=41.0578&amp;zoom=12#map=12/34.3683/41.0578","Maplink1")</f>
        <v>Maplink1</v>
      </c>
      <c r="AX25" s="104" t="str">
        <f>HYPERLINK("https://www.google.iq/maps/search/+34.3683,41.0578/@34.3683,41.0578,14z?hl=en","Maplink2")</f>
        <v>Maplink2</v>
      </c>
      <c r="AY25" s="104" t="str">
        <f>HYPERLINK("http://www.bing.com/maps/?lvl=14&amp;sty=h&amp;cp=34.3683~41.0578&amp;sp=point.34.3683_41.0578","Maplink3")</f>
        <v>Maplink3</v>
      </c>
    </row>
    <row r="26" spans="1:51" x14ac:dyDescent="0.2">
      <c r="A26" s="102">
        <v>23790</v>
      </c>
      <c r="B26" s="103" t="s">
        <v>29</v>
      </c>
      <c r="C26" s="103" t="s">
        <v>77</v>
      </c>
      <c r="D26" s="103" t="s">
        <v>156</v>
      </c>
      <c r="E26" s="103" t="s">
        <v>157</v>
      </c>
      <c r="F26" s="103">
        <v>34.373790099499999</v>
      </c>
      <c r="G26" s="103">
        <v>41.063287011500002</v>
      </c>
      <c r="H26" s="102">
        <v>353</v>
      </c>
      <c r="I26" s="102">
        <v>2118</v>
      </c>
      <c r="J26" s="103"/>
      <c r="K26" s="103"/>
      <c r="L26" s="103"/>
      <c r="M26" s="103">
        <v>330</v>
      </c>
      <c r="N26" s="103">
        <v>23</v>
      </c>
      <c r="O26" s="103"/>
      <c r="P26" s="103"/>
      <c r="Q26" s="103"/>
      <c r="R26" s="103"/>
      <c r="S26" s="103"/>
      <c r="T26" s="103"/>
      <c r="U26" s="103">
        <v>241</v>
      </c>
      <c r="V26" s="103"/>
      <c r="W26" s="103">
        <v>20</v>
      </c>
      <c r="X26" s="103"/>
      <c r="Y26" s="103"/>
      <c r="Z26" s="103"/>
      <c r="AA26" s="103">
        <v>60</v>
      </c>
      <c r="AB26" s="103"/>
      <c r="AC26" s="103"/>
      <c r="AD26" s="103"/>
      <c r="AE26" s="103"/>
      <c r="AF26" s="103"/>
      <c r="AG26" s="103"/>
      <c r="AH26" s="103"/>
      <c r="AI26" s="103"/>
      <c r="AJ26" s="103">
        <v>32</v>
      </c>
      <c r="AK26" s="103"/>
      <c r="AL26" s="103"/>
      <c r="AM26" s="103"/>
      <c r="AN26" s="103"/>
      <c r="AO26" s="103"/>
      <c r="AP26" s="103"/>
      <c r="AQ26" s="103"/>
      <c r="AR26" s="103">
        <v>36</v>
      </c>
      <c r="AS26" s="103">
        <v>82</v>
      </c>
      <c r="AT26" s="103">
        <v>235</v>
      </c>
      <c r="AU26" s="103"/>
      <c r="AV26" s="103"/>
      <c r="AW26" s="104" t="str">
        <f>HYPERLINK("http://www.openstreetmap.org/?mlat=34.3738&amp;mlon=41.0633&amp;zoom=12#map=12/34.3738/41.0633","Maplink1")</f>
        <v>Maplink1</v>
      </c>
      <c r="AX26" s="104" t="str">
        <f>HYPERLINK("https://www.google.iq/maps/search/+34.3738,41.0633/@34.3738,41.0633,14z?hl=en","Maplink2")</f>
        <v>Maplink2</v>
      </c>
      <c r="AY26" s="104" t="str">
        <f>HYPERLINK("http://www.bing.com/maps/?lvl=14&amp;sty=h&amp;cp=34.3738~41.0633&amp;sp=point.34.3738_41.0633","Maplink3")</f>
        <v>Maplink3</v>
      </c>
    </row>
    <row r="27" spans="1:51" x14ac:dyDescent="0.2">
      <c r="A27" s="102">
        <v>33779</v>
      </c>
      <c r="B27" s="103" t="s">
        <v>29</v>
      </c>
      <c r="C27" s="103" t="s">
        <v>77</v>
      </c>
      <c r="D27" s="103" t="s">
        <v>158</v>
      </c>
      <c r="E27" s="103" t="s">
        <v>159</v>
      </c>
      <c r="F27" s="103">
        <v>34.372312000000001</v>
      </c>
      <c r="G27" s="103">
        <v>41.044377099999998</v>
      </c>
      <c r="H27" s="102">
        <v>180</v>
      </c>
      <c r="I27" s="102">
        <v>1080</v>
      </c>
      <c r="J27" s="103"/>
      <c r="K27" s="103"/>
      <c r="L27" s="103"/>
      <c r="M27" s="103">
        <v>160</v>
      </c>
      <c r="N27" s="103">
        <v>20</v>
      </c>
      <c r="O27" s="103"/>
      <c r="P27" s="103"/>
      <c r="Q27" s="103"/>
      <c r="R27" s="103"/>
      <c r="S27" s="103"/>
      <c r="T27" s="103"/>
      <c r="U27" s="103">
        <v>5</v>
      </c>
      <c r="V27" s="103"/>
      <c r="W27" s="103">
        <v>55</v>
      </c>
      <c r="X27" s="103"/>
      <c r="Y27" s="103"/>
      <c r="Z27" s="103"/>
      <c r="AA27" s="103">
        <v>95</v>
      </c>
      <c r="AB27" s="103"/>
      <c r="AC27" s="103">
        <v>5</v>
      </c>
      <c r="AD27" s="103"/>
      <c r="AE27" s="103"/>
      <c r="AF27" s="103"/>
      <c r="AG27" s="103"/>
      <c r="AH27" s="103"/>
      <c r="AI27" s="103"/>
      <c r="AJ27" s="103">
        <v>20</v>
      </c>
      <c r="AK27" s="103"/>
      <c r="AL27" s="103"/>
      <c r="AM27" s="103"/>
      <c r="AN27" s="103"/>
      <c r="AO27" s="103"/>
      <c r="AP27" s="103"/>
      <c r="AQ27" s="103"/>
      <c r="AR27" s="103">
        <v>10</v>
      </c>
      <c r="AS27" s="103">
        <v>30</v>
      </c>
      <c r="AT27" s="103">
        <v>140</v>
      </c>
      <c r="AU27" s="103"/>
      <c r="AV27" s="103"/>
      <c r="AW27" s="104" t="str">
        <f>HYPERLINK("http://www.openstreetmap.org/?mlat=34.3723&amp;mlon=41.0444&amp;zoom=12#map=12/34.3723/41.0444","Maplink1")</f>
        <v>Maplink1</v>
      </c>
      <c r="AX27" s="104" t="str">
        <f>HYPERLINK("https://www.google.iq/maps/search/+34.3723,41.0444/@34.3723,41.0444,14z?hl=en","Maplink2")</f>
        <v>Maplink2</v>
      </c>
      <c r="AY27" s="104" t="str">
        <f>HYPERLINK("http://www.bing.com/maps/?lvl=14&amp;sty=h&amp;cp=34.3723~41.0444&amp;sp=point.34.3723_41.0444","Maplink3")</f>
        <v>Maplink3</v>
      </c>
    </row>
    <row r="28" spans="1:51" x14ac:dyDescent="0.2">
      <c r="A28" s="102">
        <v>269</v>
      </c>
      <c r="B28" s="103" t="s">
        <v>29</v>
      </c>
      <c r="C28" s="103" t="s">
        <v>77</v>
      </c>
      <c r="D28" s="103" t="s">
        <v>206</v>
      </c>
      <c r="E28" s="103" t="s">
        <v>207</v>
      </c>
      <c r="F28" s="103">
        <v>34.397179630499998</v>
      </c>
      <c r="G28" s="103">
        <v>40.989316412900003</v>
      </c>
      <c r="H28" s="102">
        <v>250</v>
      </c>
      <c r="I28" s="102">
        <v>1500</v>
      </c>
      <c r="J28" s="103"/>
      <c r="K28" s="103"/>
      <c r="L28" s="103"/>
      <c r="M28" s="103">
        <v>224</v>
      </c>
      <c r="N28" s="103">
        <v>26</v>
      </c>
      <c r="O28" s="103"/>
      <c r="P28" s="103"/>
      <c r="Q28" s="103"/>
      <c r="R28" s="103"/>
      <c r="S28" s="103"/>
      <c r="T28" s="103"/>
      <c r="U28" s="103">
        <v>143</v>
      </c>
      <c r="V28" s="103"/>
      <c r="W28" s="103">
        <v>40</v>
      </c>
      <c r="X28" s="103"/>
      <c r="Y28" s="103"/>
      <c r="Z28" s="103"/>
      <c r="AA28" s="103">
        <v>49</v>
      </c>
      <c r="AB28" s="103"/>
      <c r="AC28" s="103"/>
      <c r="AD28" s="103"/>
      <c r="AE28" s="103"/>
      <c r="AF28" s="103"/>
      <c r="AG28" s="103"/>
      <c r="AH28" s="103"/>
      <c r="AI28" s="103"/>
      <c r="AJ28" s="103">
        <v>18</v>
      </c>
      <c r="AK28" s="103"/>
      <c r="AL28" s="103"/>
      <c r="AM28" s="103"/>
      <c r="AN28" s="103"/>
      <c r="AO28" s="103"/>
      <c r="AP28" s="103"/>
      <c r="AQ28" s="103"/>
      <c r="AR28" s="103">
        <v>57</v>
      </c>
      <c r="AS28" s="103">
        <v>50</v>
      </c>
      <c r="AT28" s="103">
        <v>143</v>
      </c>
      <c r="AU28" s="103"/>
      <c r="AV28" s="103"/>
      <c r="AW28" s="104" t="str">
        <f>HYPERLINK("http://www.openstreetmap.org/?mlat=34.3972&amp;mlon=40.9893&amp;zoom=12#map=12/34.3972/40.9893","Maplink1")</f>
        <v>Maplink1</v>
      </c>
      <c r="AX28" s="104" t="str">
        <f>HYPERLINK("https://www.google.iq/maps/search/+34.3972,40.9893/@34.3972,40.9893,14z?hl=en","Maplink2")</f>
        <v>Maplink2</v>
      </c>
      <c r="AY28" s="104" t="str">
        <f>HYPERLINK("http://www.bing.com/maps/?lvl=14&amp;sty=h&amp;cp=34.3972~40.9893&amp;sp=point.34.3972_40.9893","Maplink3")</f>
        <v>Maplink3</v>
      </c>
    </row>
    <row r="29" spans="1:51" x14ac:dyDescent="0.2">
      <c r="A29" s="102">
        <v>33421</v>
      </c>
      <c r="B29" s="103" t="s">
        <v>29</v>
      </c>
      <c r="C29" s="103" t="s">
        <v>77</v>
      </c>
      <c r="D29" s="103" t="s">
        <v>208</v>
      </c>
      <c r="E29" s="103" t="s">
        <v>209</v>
      </c>
      <c r="F29" s="103">
        <v>34.39781</v>
      </c>
      <c r="G29" s="103">
        <v>41.189101444499997</v>
      </c>
      <c r="H29" s="102">
        <v>394</v>
      </c>
      <c r="I29" s="102">
        <v>2364</v>
      </c>
      <c r="J29" s="103"/>
      <c r="K29" s="103"/>
      <c r="L29" s="103"/>
      <c r="M29" s="103">
        <v>344</v>
      </c>
      <c r="N29" s="103">
        <v>50</v>
      </c>
      <c r="O29" s="103"/>
      <c r="P29" s="103"/>
      <c r="Q29" s="103"/>
      <c r="R29" s="103"/>
      <c r="S29" s="103"/>
      <c r="T29" s="103"/>
      <c r="U29" s="103">
        <v>189</v>
      </c>
      <c r="V29" s="103"/>
      <c r="W29" s="103">
        <v>50</v>
      </c>
      <c r="X29" s="103"/>
      <c r="Y29" s="103"/>
      <c r="Z29" s="103"/>
      <c r="AA29" s="103">
        <v>134</v>
      </c>
      <c r="AB29" s="103"/>
      <c r="AC29" s="103"/>
      <c r="AD29" s="103"/>
      <c r="AE29" s="103"/>
      <c r="AF29" s="103"/>
      <c r="AG29" s="103"/>
      <c r="AH29" s="103"/>
      <c r="AI29" s="103"/>
      <c r="AJ29" s="103">
        <v>21</v>
      </c>
      <c r="AK29" s="103"/>
      <c r="AL29" s="103"/>
      <c r="AM29" s="103"/>
      <c r="AN29" s="103"/>
      <c r="AO29" s="103"/>
      <c r="AP29" s="103"/>
      <c r="AQ29" s="103"/>
      <c r="AR29" s="103">
        <v>96</v>
      </c>
      <c r="AS29" s="103">
        <v>111</v>
      </c>
      <c r="AT29" s="103">
        <v>187</v>
      </c>
      <c r="AU29" s="103"/>
      <c r="AV29" s="103"/>
      <c r="AW29" s="104" t="str">
        <f>HYPERLINK("http://www.openstreetmap.org/?mlat=34.3978&amp;mlon=41.1891&amp;zoom=12#map=12/34.3978/41.1891","Maplink1")</f>
        <v>Maplink1</v>
      </c>
      <c r="AX29" s="104" t="str">
        <f>HYPERLINK("https://www.google.iq/maps/search/+34.3978,41.1891/@34.3978,41.1891,14z?hl=en","Maplink2")</f>
        <v>Maplink2</v>
      </c>
      <c r="AY29" s="104" t="str">
        <f>HYPERLINK("http://www.bing.com/maps/?lvl=14&amp;sty=h&amp;cp=34.3978~41.1891&amp;sp=point.34.3978_41.1891","Maplink3")</f>
        <v>Maplink3</v>
      </c>
    </row>
    <row r="30" spans="1:51" x14ac:dyDescent="0.2">
      <c r="A30" s="102">
        <v>33817</v>
      </c>
      <c r="B30" s="103" t="s">
        <v>29</v>
      </c>
      <c r="C30" s="103" t="s">
        <v>77</v>
      </c>
      <c r="D30" s="103" t="s">
        <v>210</v>
      </c>
      <c r="E30" s="103" t="s">
        <v>211</v>
      </c>
      <c r="F30" s="103">
        <v>34.380577000000002</v>
      </c>
      <c r="G30" s="103">
        <v>40.9747798</v>
      </c>
      <c r="H30" s="102">
        <v>472</v>
      </c>
      <c r="I30" s="102">
        <v>2832</v>
      </c>
      <c r="J30" s="103"/>
      <c r="K30" s="103"/>
      <c r="L30" s="103"/>
      <c r="M30" s="103">
        <v>400</v>
      </c>
      <c r="N30" s="103">
        <v>72</v>
      </c>
      <c r="O30" s="103"/>
      <c r="P30" s="103"/>
      <c r="Q30" s="103"/>
      <c r="R30" s="103"/>
      <c r="S30" s="103"/>
      <c r="T30" s="103"/>
      <c r="U30" s="103">
        <v>10</v>
      </c>
      <c r="V30" s="103"/>
      <c r="W30" s="103">
        <v>237</v>
      </c>
      <c r="X30" s="103"/>
      <c r="Y30" s="103"/>
      <c r="Z30" s="103"/>
      <c r="AA30" s="103">
        <v>150</v>
      </c>
      <c r="AB30" s="103"/>
      <c r="AC30" s="103">
        <v>35</v>
      </c>
      <c r="AD30" s="103"/>
      <c r="AE30" s="103"/>
      <c r="AF30" s="103"/>
      <c r="AG30" s="103"/>
      <c r="AH30" s="103"/>
      <c r="AI30" s="103"/>
      <c r="AJ30" s="103">
        <v>40</v>
      </c>
      <c r="AK30" s="103"/>
      <c r="AL30" s="103"/>
      <c r="AM30" s="103"/>
      <c r="AN30" s="103"/>
      <c r="AO30" s="103"/>
      <c r="AP30" s="103"/>
      <c r="AQ30" s="103"/>
      <c r="AR30" s="103">
        <v>72</v>
      </c>
      <c r="AS30" s="103">
        <v>175</v>
      </c>
      <c r="AT30" s="103">
        <v>225</v>
      </c>
      <c r="AU30" s="103"/>
      <c r="AV30" s="103"/>
      <c r="AW30" s="104" t="str">
        <f>HYPERLINK("http://www.openstreetmap.org/?mlat=34.3806&amp;mlon=40.9748&amp;zoom=12#map=12/34.3806/40.9748","Maplink1")</f>
        <v>Maplink1</v>
      </c>
      <c r="AX30" s="104" t="str">
        <f>HYPERLINK("https://www.google.iq/maps/search/+34.3806,40.9748/@34.3806,40.9748,14z?hl=en","Maplink2")</f>
        <v>Maplink2</v>
      </c>
      <c r="AY30" s="104" t="str">
        <f>HYPERLINK("http://www.bing.com/maps/?lvl=14&amp;sty=h&amp;cp=34.3806~40.9748&amp;sp=point.34.3806_40.9748","Maplink3")</f>
        <v>Maplink3</v>
      </c>
    </row>
    <row r="31" spans="1:51" x14ac:dyDescent="0.2">
      <c r="A31" s="102">
        <v>275</v>
      </c>
      <c r="B31" s="103" t="s">
        <v>29</v>
      </c>
      <c r="C31" s="103" t="s">
        <v>77</v>
      </c>
      <c r="D31" s="103" t="s">
        <v>220</v>
      </c>
      <c r="E31" s="103" t="s">
        <v>221</v>
      </c>
      <c r="F31" s="103">
        <v>34.407377473700002</v>
      </c>
      <c r="G31" s="103">
        <v>41.067313188200004</v>
      </c>
      <c r="H31" s="102">
        <v>355</v>
      </c>
      <c r="I31" s="102">
        <v>2130</v>
      </c>
      <c r="J31" s="103"/>
      <c r="K31" s="103"/>
      <c r="L31" s="103"/>
      <c r="M31" s="103">
        <v>315</v>
      </c>
      <c r="N31" s="103">
        <v>40</v>
      </c>
      <c r="O31" s="103"/>
      <c r="P31" s="103"/>
      <c r="Q31" s="103"/>
      <c r="R31" s="103"/>
      <c r="S31" s="103"/>
      <c r="T31" s="103"/>
      <c r="U31" s="103">
        <v>95</v>
      </c>
      <c r="V31" s="103"/>
      <c r="W31" s="103">
        <v>45</v>
      </c>
      <c r="X31" s="103"/>
      <c r="Y31" s="103"/>
      <c r="Z31" s="103"/>
      <c r="AA31" s="103">
        <v>114</v>
      </c>
      <c r="AB31" s="103"/>
      <c r="AC31" s="103">
        <v>30</v>
      </c>
      <c r="AD31" s="103"/>
      <c r="AE31" s="103"/>
      <c r="AF31" s="103"/>
      <c r="AG31" s="103"/>
      <c r="AH31" s="103"/>
      <c r="AI31" s="103"/>
      <c r="AJ31" s="103">
        <v>71</v>
      </c>
      <c r="AK31" s="103"/>
      <c r="AL31" s="103"/>
      <c r="AM31" s="103"/>
      <c r="AN31" s="103"/>
      <c r="AO31" s="103"/>
      <c r="AP31" s="103"/>
      <c r="AQ31" s="103"/>
      <c r="AR31" s="103">
        <v>84</v>
      </c>
      <c r="AS31" s="103">
        <v>150</v>
      </c>
      <c r="AT31" s="103">
        <v>121</v>
      </c>
      <c r="AU31" s="103"/>
      <c r="AV31" s="103"/>
      <c r="AW31" s="104" t="str">
        <f>HYPERLINK("http://www.openstreetmap.org/?mlat=34.4074&amp;mlon=41.0673&amp;zoom=12#map=12/34.4074/41.0673","Maplink1")</f>
        <v>Maplink1</v>
      </c>
      <c r="AX31" s="104" t="str">
        <f>HYPERLINK("https://www.google.iq/maps/search/+34.4074,41.0673/@34.4074,41.0673,14z?hl=en","Maplink2")</f>
        <v>Maplink2</v>
      </c>
      <c r="AY31" s="104" t="str">
        <f>HYPERLINK("http://www.bing.com/maps/?lvl=14&amp;sty=h&amp;cp=34.4074~41.0673&amp;sp=point.34.4074_41.0673","Maplink3")</f>
        <v>Maplink3</v>
      </c>
    </row>
    <row r="32" spans="1:51" x14ac:dyDescent="0.2">
      <c r="A32" s="102">
        <v>90</v>
      </c>
      <c r="B32" s="103" t="s">
        <v>29</v>
      </c>
      <c r="C32" s="103" t="s">
        <v>77</v>
      </c>
      <c r="D32" s="103" t="s">
        <v>212</v>
      </c>
      <c r="E32" s="103" t="s">
        <v>213</v>
      </c>
      <c r="F32" s="103">
        <v>34.429214239099998</v>
      </c>
      <c r="G32" s="103">
        <v>41.226332525099998</v>
      </c>
      <c r="H32" s="102">
        <v>357</v>
      </c>
      <c r="I32" s="102">
        <v>2142</v>
      </c>
      <c r="J32" s="103"/>
      <c r="K32" s="103"/>
      <c r="L32" s="103"/>
      <c r="M32" s="103">
        <v>252</v>
      </c>
      <c r="N32" s="103">
        <v>105</v>
      </c>
      <c r="O32" s="103"/>
      <c r="P32" s="103"/>
      <c r="Q32" s="103"/>
      <c r="R32" s="103"/>
      <c r="S32" s="103"/>
      <c r="T32" s="103"/>
      <c r="U32" s="103">
        <v>232</v>
      </c>
      <c r="V32" s="103"/>
      <c r="W32" s="103">
        <v>25</v>
      </c>
      <c r="X32" s="103"/>
      <c r="Y32" s="103"/>
      <c r="Z32" s="103"/>
      <c r="AA32" s="103">
        <v>100</v>
      </c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>
        <v>165</v>
      </c>
      <c r="AS32" s="103">
        <v>136</v>
      </c>
      <c r="AT32" s="103">
        <v>56</v>
      </c>
      <c r="AU32" s="103"/>
      <c r="AV32" s="103"/>
      <c r="AW32" s="104" t="str">
        <f>HYPERLINK("http://www.openstreetmap.org/?mlat=34.4292&amp;mlon=41.2263&amp;zoom=12#map=12/34.4292/41.2263","Maplink1")</f>
        <v>Maplink1</v>
      </c>
      <c r="AX32" s="104" t="str">
        <f>HYPERLINK("https://www.google.iq/maps/search/+34.4292,41.2263/@34.4292,41.2263,14z?hl=en","Maplink2")</f>
        <v>Maplink2</v>
      </c>
      <c r="AY32" s="104" t="str">
        <f>HYPERLINK("http://www.bing.com/maps/?lvl=14&amp;sty=h&amp;cp=34.4292~41.2263&amp;sp=point.34.4292_41.2263","Maplink3")</f>
        <v>Maplink3</v>
      </c>
    </row>
    <row r="33" spans="1:51" x14ac:dyDescent="0.2">
      <c r="A33" s="102">
        <v>156</v>
      </c>
      <c r="B33" s="103" t="s">
        <v>29</v>
      </c>
      <c r="C33" s="103" t="s">
        <v>77</v>
      </c>
      <c r="D33" s="103" t="s">
        <v>214</v>
      </c>
      <c r="E33" s="103" t="s">
        <v>215</v>
      </c>
      <c r="F33" s="103">
        <v>34.381417021099999</v>
      </c>
      <c r="G33" s="103">
        <v>41.039640758300003</v>
      </c>
      <c r="H33" s="102">
        <v>513</v>
      </c>
      <c r="I33" s="102">
        <v>3078</v>
      </c>
      <c r="J33" s="103"/>
      <c r="K33" s="103"/>
      <c r="L33" s="103">
        <v>18</v>
      </c>
      <c r="M33" s="103">
        <v>416</v>
      </c>
      <c r="N33" s="103">
        <v>79</v>
      </c>
      <c r="O33" s="103"/>
      <c r="P33" s="103"/>
      <c r="Q33" s="103"/>
      <c r="R33" s="103"/>
      <c r="S33" s="103"/>
      <c r="T33" s="103"/>
      <c r="U33" s="103">
        <v>210</v>
      </c>
      <c r="V33" s="103"/>
      <c r="W33" s="103">
        <v>98</v>
      </c>
      <c r="X33" s="103"/>
      <c r="Y33" s="103"/>
      <c r="Z33" s="103"/>
      <c r="AA33" s="103">
        <v>135</v>
      </c>
      <c r="AB33" s="103"/>
      <c r="AC33" s="103"/>
      <c r="AD33" s="103"/>
      <c r="AE33" s="103"/>
      <c r="AF33" s="103"/>
      <c r="AG33" s="103"/>
      <c r="AH33" s="103"/>
      <c r="AI33" s="103"/>
      <c r="AJ33" s="103">
        <v>70</v>
      </c>
      <c r="AK33" s="103"/>
      <c r="AL33" s="103"/>
      <c r="AM33" s="103"/>
      <c r="AN33" s="103"/>
      <c r="AO33" s="103"/>
      <c r="AP33" s="103"/>
      <c r="AQ33" s="103"/>
      <c r="AR33" s="103">
        <v>112</v>
      </c>
      <c r="AS33" s="103">
        <v>85</v>
      </c>
      <c r="AT33" s="103">
        <v>316</v>
      </c>
      <c r="AU33" s="103"/>
      <c r="AV33" s="103"/>
      <c r="AW33" s="104" t="str">
        <f>HYPERLINK("http://www.openstreetmap.org/?mlat=34.3814&amp;mlon=41.0396&amp;zoom=12#map=12/34.3814/41.0396","Maplink1")</f>
        <v>Maplink1</v>
      </c>
      <c r="AX33" s="104" t="str">
        <f>HYPERLINK("https://www.google.iq/maps/search/+34.3814,41.0396/@34.3814,41.0396,14z?hl=en","Maplink2")</f>
        <v>Maplink2</v>
      </c>
      <c r="AY33" s="104" t="str">
        <f>HYPERLINK("http://www.bing.com/maps/?lvl=14&amp;sty=h&amp;cp=34.3814~41.0396&amp;sp=point.34.3814_41.0396","Maplink3")</f>
        <v>Maplink3</v>
      </c>
    </row>
    <row r="34" spans="1:51" x14ac:dyDescent="0.2">
      <c r="A34" s="102">
        <v>33466</v>
      </c>
      <c r="B34" s="103" t="s">
        <v>29</v>
      </c>
      <c r="C34" s="103" t="s">
        <v>77</v>
      </c>
      <c r="D34" s="103" t="s">
        <v>144</v>
      </c>
      <c r="E34" s="103" t="s">
        <v>145</v>
      </c>
      <c r="F34" s="103">
        <v>34.430121999999997</v>
      </c>
      <c r="G34" s="103">
        <v>41.005760000000002</v>
      </c>
      <c r="H34" s="102">
        <v>119</v>
      </c>
      <c r="I34" s="102">
        <v>714</v>
      </c>
      <c r="J34" s="103"/>
      <c r="K34" s="103"/>
      <c r="L34" s="103"/>
      <c r="M34" s="103">
        <v>109</v>
      </c>
      <c r="N34" s="103">
        <v>10</v>
      </c>
      <c r="O34" s="103"/>
      <c r="P34" s="103"/>
      <c r="Q34" s="103"/>
      <c r="R34" s="103"/>
      <c r="S34" s="103"/>
      <c r="T34" s="103"/>
      <c r="U34" s="103">
        <v>59</v>
      </c>
      <c r="V34" s="103"/>
      <c r="W34" s="103">
        <v>30</v>
      </c>
      <c r="X34" s="103"/>
      <c r="Y34" s="103"/>
      <c r="Z34" s="103"/>
      <c r="AA34" s="103">
        <v>10</v>
      </c>
      <c r="AB34" s="103"/>
      <c r="AC34" s="103"/>
      <c r="AD34" s="103"/>
      <c r="AE34" s="103"/>
      <c r="AF34" s="103"/>
      <c r="AG34" s="103"/>
      <c r="AH34" s="103"/>
      <c r="AI34" s="103"/>
      <c r="AJ34" s="103">
        <v>20</v>
      </c>
      <c r="AK34" s="103"/>
      <c r="AL34" s="103"/>
      <c r="AM34" s="103"/>
      <c r="AN34" s="103"/>
      <c r="AO34" s="103"/>
      <c r="AP34" s="103"/>
      <c r="AQ34" s="103"/>
      <c r="AR34" s="103">
        <v>40</v>
      </c>
      <c r="AS34" s="103">
        <v>50</v>
      </c>
      <c r="AT34" s="103">
        <v>29</v>
      </c>
      <c r="AU34" s="103"/>
      <c r="AV34" s="103"/>
      <c r="AW34" s="104" t="str">
        <f>HYPERLINK("http://www.openstreetmap.org/?mlat=34.4301&amp;mlon=41.0058&amp;zoom=12#map=12/34.4301/41.0058","Maplink1")</f>
        <v>Maplink1</v>
      </c>
      <c r="AX34" s="104" t="str">
        <f>HYPERLINK("https://www.google.iq/maps/search/+34.4301,41.0058/@34.4301,41.0058,14z?hl=en","Maplink2")</f>
        <v>Maplink2</v>
      </c>
      <c r="AY34" s="104" t="str">
        <f>HYPERLINK("http://www.bing.com/maps/?lvl=14&amp;sty=h&amp;cp=34.4301~41.0058&amp;sp=point.34.4301_41.0058","Maplink3")</f>
        <v>Maplink3</v>
      </c>
    </row>
    <row r="35" spans="1:51" x14ac:dyDescent="0.2">
      <c r="A35" s="102">
        <v>33465</v>
      </c>
      <c r="B35" s="103" t="s">
        <v>29</v>
      </c>
      <c r="C35" s="103" t="s">
        <v>77</v>
      </c>
      <c r="D35" s="103" t="s">
        <v>222</v>
      </c>
      <c r="E35" s="103" t="s">
        <v>223</v>
      </c>
      <c r="F35" s="103">
        <v>34.446249999999999</v>
      </c>
      <c r="G35" s="103">
        <v>41.288249817100002</v>
      </c>
      <c r="H35" s="102">
        <v>91</v>
      </c>
      <c r="I35" s="102">
        <v>546</v>
      </c>
      <c r="J35" s="103"/>
      <c r="K35" s="103"/>
      <c r="L35" s="103"/>
      <c r="M35" s="103">
        <v>91</v>
      </c>
      <c r="N35" s="103"/>
      <c r="O35" s="103"/>
      <c r="P35" s="103"/>
      <c r="Q35" s="103"/>
      <c r="R35" s="103"/>
      <c r="S35" s="103"/>
      <c r="T35" s="103"/>
      <c r="U35" s="103">
        <v>42</v>
      </c>
      <c r="V35" s="103"/>
      <c r="W35" s="103">
        <v>27</v>
      </c>
      <c r="X35" s="103"/>
      <c r="Y35" s="103"/>
      <c r="Z35" s="103"/>
      <c r="AA35" s="103">
        <v>22</v>
      </c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>
        <v>27</v>
      </c>
      <c r="AT35" s="103">
        <v>64</v>
      </c>
      <c r="AU35" s="103"/>
      <c r="AV35" s="103"/>
      <c r="AW35" s="104" t="str">
        <f>HYPERLINK("http://www.openstreetmap.org/?mlat=34.4462&amp;mlon=41.2882&amp;zoom=12#map=12/34.4462/41.2882","Maplink1")</f>
        <v>Maplink1</v>
      </c>
      <c r="AX35" s="104" t="str">
        <f>HYPERLINK("https://www.google.iq/maps/search/+34.4462,41.2882/@34.4462,41.2882,14z?hl=en","Maplink2")</f>
        <v>Maplink2</v>
      </c>
      <c r="AY35" s="104" t="str">
        <f>HYPERLINK("http://www.bing.com/maps/?lvl=14&amp;sty=h&amp;cp=34.4462~41.2882&amp;sp=point.34.4462_41.2882","Maplink3")</f>
        <v>Maplink3</v>
      </c>
    </row>
    <row r="36" spans="1:51" x14ac:dyDescent="0.2">
      <c r="A36" s="102">
        <v>33945</v>
      </c>
      <c r="B36" s="103" t="s">
        <v>29</v>
      </c>
      <c r="C36" s="103" t="s">
        <v>77</v>
      </c>
      <c r="D36" s="103" t="s">
        <v>224</v>
      </c>
      <c r="E36" s="103" t="s">
        <v>225</v>
      </c>
      <c r="F36" s="103">
        <v>34.370680100000001</v>
      </c>
      <c r="G36" s="103">
        <v>41.192281800000003</v>
      </c>
      <c r="H36" s="102">
        <v>69</v>
      </c>
      <c r="I36" s="102">
        <v>414</v>
      </c>
      <c r="J36" s="103"/>
      <c r="K36" s="103"/>
      <c r="L36" s="103"/>
      <c r="M36" s="103">
        <v>64</v>
      </c>
      <c r="N36" s="103">
        <v>5</v>
      </c>
      <c r="O36" s="103"/>
      <c r="P36" s="103"/>
      <c r="Q36" s="103"/>
      <c r="R36" s="103"/>
      <c r="S36" s="103"/>
      <c r="T36" s="103"/>
      <c r="U36" s="103"/>
      <c r="V36" s="103"/>
      <c r="W36" s="103">
        <v>15</v>
      </c>
      <c r="X36" s="103"/>
      <c r="Y36" s="103"/>
      <c r="Z36" s="103"/>
      <c r="AA36" s="103">
        <v>27</v>
      </c>
      <c r="AB36" s="103"/>
      <c r="AC36" s="103"/>
      <c r="AD36" s="103"/>
      <c r="AE36" s="103"/>
      <c r="AF36" s="103"/>
      <c r="AG36" s="103"/>
      <c r="AH36" s="103"/>
      <c r="AI36" s="103"/>
      <c r="AJ36" s="103">
        <v>27</v>
      </c>
      <c r="AK36" s="103"/>
      <c r="AL36" s="103"/>
      <c r="AM36" s="103"/>
      <c r="AN36" s="103"/>
      <c r="AO36" s="103"/>
      <c r="AP36" s="103"/>
      <c r="AQ36" s="103"/>
      <c r="AR36" s="103">
        <v>20</v>
      </c>
      <c r="AS36" s="103">
        <v>10</v>
      </c>
      <c r="AT36" s="103">
        <v>39</v>
      </c>
      <c r="AU36" s="103"/>
      <c r="AV36" s="103"/>
      <c r="AW36" s="104" t="str">
        <f>HYPERLINK("http://www.openstreetmap.org/?mlat=34.3707&amp;mlon=41.1923&amp;zoom=12#map=12/34.3707/41.1923","Maplink1")</f>
        <v>Maplink1</v>
      </c>
      <c r="AX36" s="104" t="str">
        <f>HYPERLINK("https://www.google.iq/maps/search/+34.3707,41.1923/@34.3707,41.1923,14z?hl=en","Maplink2")</f>
        <v>Maplink2</v>
      </c>
      <c r="AY36" s="104" t="str">
        <f>HYPERLINK("http://www.bing.com/maps/?lvl=14&amp;sty=h&amp;cp=34.3707~41.1923&amp;sp=point.34.3707_41.1923","Maplink3")</f>
        <v>Maplink3</v>
      </c>
    </row>
    <row r="37" spans="1:51" x14ac:dyDescent="0.2">
      <c r="A37" s="102">
        <v>23797</v>
      </c>
      <c r="B37" s="103" t="s">
        <v>29</v>
      </c>
      <c r="C37" s="103" t="s">
        <v>77</v>
      </c>
      <c r="D37" s="103" t="s">
        <v>218</v>
      </c>
      <c r="E37" s="103" t="s">
        <v>219</v>
      </c>
      <c r="F37" s="103">
        <v>34.434649068200002</v>
      </c>
      <c r="G37" s="103">
        <v>41.226006945199998</v>
      </c>
      <c r="H37" s="102">
        <v>207</v>
      </c>
      <c r="I37" s="102">
        <v>1242</v>
      </c>
      <c r="J37" s="103"/>
      <c r="K37" s="103"/>
      <c r="L37" s="103"/>
      <c r="M37" s="103">
        <v>188</v>
      </c>
      <c r="N37" s="103">
        <v>19</v>
      </c>
      <c r="O37" s="103"/>
      <c r="P37" s="103"/>
      <c r="Q37" s="103"/>
      <c r="R37" s="103"/>
      <c r="S37" s="103"/>
      <c r="T37" s="103"/>
      <c r="U37" s="103">
        <v>48</v>
      </c>
      <c r="V37" s="103"/>
      <c r="W37" s="103">
        <v>51</v>
      </c>
      <c r="X37" s="103"/>
      <c r="Y37" s="103"/>
      <c r="Z37" s="103"/>
      <c r="AA37" s="103">
        <v>87</v>
      </c>
      <c r="AB37" s="103"/>
      <c r="AC37" s="103"/>
      <c r="AD37" s="103"/>
      <c r="AE37" s="103"/>
      <c r="AF37" s="103"/>
      <c r="AG37" s="103"/>
      <c r="AH37" s="103"/>
      <c r="AI37" s="103"/>
      <c r="AJ37" s="103">
        <v>21</v>
      </c>
      <c r="AK37" s="103"/>
      <c r="AL37" s="103"/>
      <c r="AM37" s="103"/>
      <c r="AN37" s="103"/>
      <c r="AO37" s="103"/>
      <c r="AP37" s="103"/>
      <c r="AQ37" s="103"/>
      <c r="AR37" s="103">
        <v>84</v>
      </c>
      <c r="AS37" s="103">
        <v>63</v>
      </c>
      <c r="AT37" s="103">
        <v>60</v>
      </c>
      <c r="AU37" s="103"/>
      <c r="AV37" s="103"/>
      <c r="AW37" s="104" t="str">
        <f>HYPERLINK("http://www.openstreetmap.org/?mlat=34.4346&amp;mlon=41.226&amp;zoom=12#map=12/34.4346/41.226","Maplink1")</f>
        <v>Maplink1</v>
      </c>
      <c r="AX37" s="104" t="str">
        <f>HYPERLINK("https://www.google.iq/maps/search/+34.4346,41.226/@34.4346,41.226,14z?hl=en","Maplink2")</f>
        <v>Maplink2</v>
      </c>
      <c r="AY37" s="104" t="str">
        <f>HYPERLINK("http://www.bing.com/maps/?lvl=14&amp;sty=h&amp;cp=34.4346~41.226&amp;sp=point.34.4346_41.226","Maplink3")</f>
        <v>Maplink3</v>
      </c>
    </row>
    <row r="38" spans="1:51" x14ac:dyDescent="0.2">
      <c r="A38" s="102">
        <v>23795</v>
      </c>
      <c r="B38" s="103" t="s">
        <v>29</v>
      </c>
      <c r="C38" s="103" t="s">
        <v>77</v>
      </c>
      <c r="D38" s="103" t="s">
        <v>230</v>
      </c>
      <c r="E38" s="103" t="s">
        <v>231</v>
      </c>
      <c r="F38" s="103">
        <v>34.400987180500003</v>
      </c>
      <c r="G38" s="103">
        <v>41.071244817500002</v>
      </c>
      <c r="H38" s="102">
        <v>339</v>
      </c>
      <c r="I38" s="102">
        <v>2034</v>
      </c>
      <c r="J38" s="103"/>
      <c r="K38" s="103"/>
      <c r="L38" s="103"/>
      <c r="M38" s="103">
        <v>274</v>
      </c>
      <c r="N38" s="103">
        <v>65</v>
      </c>
      <c r="O38" s="103"/>
      <c r="P38" s="103"/>
      <c r="Q38" s="103"/>
      <c r="R38" s="103"/>
      <c r="S38" s="103"/>
      <c r="T38" s="103"/>
      <c r="U38" s="103">
        <v>207</v>
      </c>
      <c r="V38" s="103"/>
      <c r="W38" s="103">
        <v>37</v>
      </c>
      <c r="X38" s="103"/>
      <c r="Y38" s="103"/>
      <c r="Z38" s="103"/>
      <c r="AA38" s="103">
        <v>70</v>
      </c>
      <c r="AB38" s="103"/>
      <c r="AC38" s="103"/>
      <c r="AD38" s="103"/>
      <c r="AE38" s="103"/>
      <c r="AF38" s="103"/>
      <c r="AG38" s="103"/>
      <c r="AH38" s="103"/>
      <c r="AI38" s="103"/>
      <c r="AJ38" s="103">
        <v>25</v>
      </c>
      <c r="AK38" s="103"/>
      <c r="AL38" s="103"/>
      <c r="AM38" s="103"/>
      <c r="AN38" s="103"/>
      <c r="AO38" s="103"/>
      <c r="AP38" s="103"/>
      <c r="AQ38" s="103"/>
      <c r="AR38" s="103">
        <v>66</v>
      </c>
      <c r="AS38" s="103">
        <v>71</v>
      </c>
      <c r="AT38" s="103">
        <v>202</v>
      </c>
      <c r="AU38" s="103"/>
      <c r="AV38" s="103"/>
      <c r="AW38" s="104" t="str">
        <f>HYPERLINK("http://www.openstreetmap.org/?mlat=34.401&amp;mlon=41.0712&amp;zoom=12#map=12/34.401/41.0712","Maplink1")</f>
        <v>Maplink1</v>
      </c>
      <c r="AX38" s="104" t="str">
        <f>HYPERLINK("https://www.google.iq/maps/search/+34.401,41.0712/@34.401,41.0712,14z?hl=en","Maplink2")</f>
        <v>Maplink2</v>
      </c>
      <c r="AY38" s="104" t="str">
        <f>HYPERLINK("http://www.bing.com/maps/?lvl=14&amp;sty=h&amp;cp=34.401~41.0712&amp;sp=point.34.401_41.0712","Maplink3")</f>
        <v>Maplink3</v>
      </c>
    </row>
    <row r="39" spans="1:51" x14ac:dyDescent="0.2">
      <c r="A39" s="102">
        <v>21477</v>
      </c>
      <c r="B39" s="103" t="s">
        <v>29</v>
      </c>
      <c r="C39" s="103" t="s">
        <v>77</v>
      </c>
      <c r="D39" s="103" t="s">
        <v>164</v>
      </c>
      <c r="E39" s="103" t="s">
        <v>165</v>
      </c>
      <c r="F39" s="103">
        <v>34.421242137500002</v>
      </c>
      <c r="G39" s="103">
        <v>41.4572661602</v>
      </c>
      <c r="H39" s="102">
        <v>228</v>
      </c>
      <c r="I39" s="102">
        <v>1368</v>
      </c>
      <c r="J39" s="103"/>
      <c r="K39" s="103"/>
      <c r="L39" s="103"/>
      <c r="M39" s="103">
        <v>209</v>
      </c>
      <c r="N39" s="103">
        <v>19</v>
      </c>
      <c r="O39" s="103"/>
      <c r="P39" s="103"/>
      <c r="Q39" s="103"/>
      <c r="R39" s="103"/>
      <c r="S39" s="103"/>
      <c r="T39" s="103"/>
      <c r="U39" s="103">
        <v>182</v>
      </c>
      <c r="V39" s="103"/>
      <c r="W39" s="103"/>
      <c r="X39" s="103"/>
      <c r="Y39" s="103"/>
      <c r="Z39" s="103"/>
      <c r="AA39" s="103">
        <v>27</v>
      </c>
      <c r="AB39" s="103"/>
      <c r="AC39" s="103"/>
      <c r="AD39" s="103"/>
      <c r="AE39" s="103"/>
      <c r="AF39" s="103"/>
      <c r="AG39" s="103"/>
      <c r="AH39" s="103"/>
      <c r="AI39" s="103"/>
      <c r="AJ39" s="103">
        <v>19</v>
      </c>
      <c r="AK39" s="103"/>
      <c r="AL39" s="103"/>
      <c r="AM39" s="103"/>
      <c r="AN39" s="103"/>
      <c r="AO39" s="103"/>
      <c r="AP39" s="103"/>
      <c r="AQ39" s="103"/>
      <c r="AR39" s="103"/>
      <c r="AS39" s="103">
        <v>142</v>
      </c>
      <c r="AT39" s="103">
        <v>86</v>
      </c>
      <c r="AU39" s="103"/>
      <c r="AV39" s="103"/>
      <c r="AW39" s="104" t="str">
        <f>HYPERLINK("http://www.openstreetmap.org/?mlat=34.4212&amp;mlon=41.4573&amp;zoom=12#map=12/34.4212/41.4573","Maplink1")</f>
        <v>Maplink1</v>
      </c>
      <c r="AX39" s="104" t="str">
        <f>HYPERLINK("https://www.google.iq/maps/search/+34.4212,41.4573/@34.4212,41.4573,14z?hl=en","Maplink2")</f>
        <v>Maplink2</v>
      </c>
      <c r="AY39" s="104" t="str">
        <f>HYPERLINK("http://www.bing.com/maps/?lvl=14&amp;sty=h&amp;cp=34.4212~41.4573&amp;sp=point.34.4212_41.4573","Maplink3")</f>
        <v>Maplink3</v>
      </c>
    </row>
    <row r="40" spans="1:51" x14ac:dyDescent="0.2">
      <c r="A40" s="102">
        <v>33175</v>
      </c>
      <c r="B40" s="103" t="s">
        <v>29</v>
      </c>
      <c r="C40" s="103" t="s">
        <v>77</v>
      </c>
      <c r="D40" s="103" t="s">
        <v>166</v>
      </c>
      <c r="E40" s="103" t="s">
        <v>167</v>
      </c>
      <c r="F40" s="103">
        <v>34.225900701199997</v>
      </c>
      <c r="G40" s="103">
        <v>41.341684352400002</v>
      </c>
      <c r="H40" s="102">
        <v>159</v>
      </c>
      <c r="I40" s="102">
        <v>954</v>
      </c>
      <c r="J40" s="103"/>
      <c r="K40" s="103"/>
      <c r="L40" s="103"/>
      <c r="M40" s="103">
        <v>137</v>
      </c>
      <c r="N40" s="103">
        <v>22</v>
      </c>
      <c r="O40" s="103"/>
      <c r="P40" s="103"/>
      <c r="Q40" s="103"/>
      <c r="R40" s="103"/>
      <c r="S40" s="103"/>
      <c r="T40" s="103"/>
      <c r="U40" s="103">
        <v>64</v>
      </c>
      <c r="V40" s="103"/>
      <c r="W40" s="103">
        <v>35</v>
      </c>
      <c r="X40" s="103"/>
      <c r="Y40" s="103"/>
      <c r="Z40" s="103"/>
      <c r="AA40" s="103">
        <v>47</v>
      </c>
      <c r="AB40" s="103"/>
      <c r="AC40" s="103"/>
      <c r="AD40" s="103"/>
      <c r="AE40" s="103"/>
      <c r="AF40" s="103"/>
      <c r="AG40" s="103"/>
      <c r="AH40" s="103"/>
      <c r="AI40" s="103"/>
      <c r="AJ40" s="103">
        <v>13</v>
      </c>
      <c r="AK40" s="103"/>
      <c r="AL40" s="103"/>
      <c r="AM40" s="103"/>
      <c r="AN40" s="103"/>
      <c r="AO40" s="103"/>
      <c r="AP40" s="103"/>
      <c r="AQ40" s="103"/>
      <c r="AR40" s="103"/>
      <c r="AS40" s="103">
        <v>34</v>
      </c>
      <c r="AT40" s="103">
        <v>125</v>
      </c>
      <c r="AU40" s="103"/>
      <c r="AV40" s="103"/>
      <c r="AW40" s="104" t="str">
        <f>HYPERLINK("http://www.openstreetmap.org/?mlat=34.2259&amp;mlon=41.3417&amp;zoom=12#map=12/34.2259/41.3417","Maplink1")</f>
        <v>Maplink1</v>
      </c>
      <c r="AX40" s="104" t="str">
        <f>HYPERLINK("https://www.google.iq/maps/search/+34.2259,41.3417/@34.2259,41.3417,14z?hl=en","Maplink2")</f>
        <v>Maplink2</v>
      </c>
      <c r="AY40" s="104" t="str">
        <f>HYPERLINK("http://www.bing.com/maps/?lvl=14&amp;sty=h&amp;cp=34.2259~41.3417&amp;sp=point.34.2259_41.3417","Maplink3")</f>
        <v>Maplink3</v>
      </c>
    </row>
    <row r="41" spans="1:51" x14ac:dyDescent="0.2">
      <c r="A41" s="102">
        <v>33815</v>
      </c>
      <c r="B41" s="103" t="s">
        <v>29</v>
      </c>
      <c r="C41" s="103" t="s">
        <v>77</v>
      </c>
      <c r="D41" s="103" t="s">
        <v>168</v>
      </c>
      <c r="E41" s="103" t="s">
        <v>169</v>
      </c>
      <c r="F41" s="103">
        <v>34.377398999999997</v>
      </c>
      <c r="G41" s="103">
        <v>41.019220300000001</v>
      </c>
      <c r="H41" s="102">
        <v>133</v>
      </c>
      <c r="I41" s="102">
        <v>798</v>
      </c>
      <c r="J41" s="103"/>
      <c r="K41" s="103"/>
      <c r="L41" s="103"/>
      <c r="M41" s="103">
        <v>125</v>
      </c>
      <c r="N41" s="103">
        <v>8</v>
      </c>
      <c r="O41" s="103"/>
      <c r="P41" s="103"/>
      <c r="Q41" s="103"/>
      <c r="R41" s="103"/>
      <c r="S41" s="103"/>
      <c r="T41" s="103"/>
      <c r="U41" s="103"/>
      <c r="V41" s="103"/>
      <c r="W41" s="103">
        <v>28</v>
      </c>
      <c r="X41" s="103"/>
      <c r="Y41" s="103"/>
      <c r="Z41" s="103"/>
      <c r="AA41" s="103">
        <v>60</v>
      </c>
      <c r="AB41" s="103"/>
      <c r="AC41" s="103">
        <v>33</v>
      </c>
      <c r="AD41" s="103"/>
      <c r="AE41" s="103"/>
      <c r="AF41" s="103"/>
      <c r="AG41" s="103"/>
      <c r="AH41" s="103"/>
      <c r="AI41" s="103"/>
      <c r="AJ41" s="103">
        <v>12</v>
      </c>
      <c r="AK41" s="103"/>
      <c r="AL41" s="103"/>
      <c r="AM41" s="103"/>
      <c r="AN41" s="103"/>
      <c r="AO41" s="103"/>
      <c r="AP41" s="103"/>
      <c r="AQ41" s="103"/>
      <c r="AR41" s="103"/>
      <c r="AS41" s="103">
        <v>47</v>
      </c>
      <c r="AT41" s="103">
        <v>86</v>
      </c>
      <c r="AU41" s="103"/>
      <c r="AV41" s="103"/>
      <c r="AW41" s="104" t="str">
        <f>HYPERLINK("http://www.openstreetmap.org/?mlat=34.3774&amp;mlon=41.0192&amp;zoom=12#map=12/34.3774/41.0192","Maplink1")</f>
        <v>Maplink1</v>
      </c>
      <c r="AX41" s="104" t="str">
        <f>HYPERLINK("https://www.google.iq/maps/search/+34.3774,41.0192/@34.3774,41.0192,14z?hl=en","Maplink2")</f>
        <v>Maplink2</v>
      </c>
      <c r="AY41" s="104" t="str">
        <f>HYPERLINK("http://www.bing.com/maps/?lvl=14&amp;sty=h&amp;cp=34.3774~41.0192&amp;sp=point.34.3774_41.0192","Maplink3")</f>
        <v>Maplink3</v>
      </c>
    </row>
    <row r="42" spans="1:51" x14ac:dyDescent="0.2">
      <c r="A42" s="102">
        <v>33943</v>
      </c>
      <c r="B42" s="103" t="s">
        <v>29</v>
      </c>
      <c r="C42" s="103" t="s">
        <v>77</v>
      </c>
      <c r="D42" s="103" t="s">
        <v>170</v>
      </c>
      <c r="E42" s="103" t="s">
        <v>171</v>
      </c>
      <c r="F42" s="103">
        <v>34.380625999999999</v>
      </c>
      <c r="G42" s="103">
        <v>41.203831999999998</v>
      </c>
      <c r="H42" s="102">
        <v>88</v>
      </c>
      <c r="I42" s="102">
        <v>528</v>
      </c>
      <c r="J42" s="103"/>
      <c r="K42" s="103"/>
      <c r="L42" s="103"/>
      <c r="M42" s="103">
        <v>80</v>
      </c>
      <c r="N42" s="103">
        <v>8</v>
      </c>
      <c r="O42" s="103"/>
      <c r="P42" s="103"/>
      <c r="Q42" s="103"/>
      <c r="R42" s="103"/>
      <c r="S42" s="103"/>
      <c r="T42" s="103"/>
      <c r="U42" s="103">
        <v>13</v>
      </c>
      <c r="V42" s="103"/>
      <c r="W42" s="103">
        <v>30</v>
      </c>
      <c r="X42" s="103"/>
      <c r="Y42" s="103"/>
      <c r="Z42" s="103"/>
      <c r="AA42" s="103">
        <v>45</v>
      </c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>
        <v>45</v>
      </c>
      <c r="AS42" s="103">
        <v>18</v>
      </c>
      <c r="AT42" s="103">
        <v>25</v>
      </c>
      <c r="AU42" s="103"/>
      <c r="AV42" s="103"/>
      <c r="AW42" s="104" t="str">
        <f>HYPERLINK("http://www.openstreetmap.org/?mlat=34.3806&amp;mlon=41.2038&amp;zoom=12#map=12/34.3806/41.2038","Maplink1")</f>
        <v>Maplink1</v>
      </c>
      <c r="AX42" s="104" t="str">
        <f>HYPERLINK("https://www.google.iq/maps/search/+34.3806,41.2038/@34.3806,41.2038,14z?hl=en","Maplink2")</f>
        <v>Maplink2</v>
      </c>
      <c r="AY42" s="104" t="str">
        <f>HYPERLINK("http://www.bing.com/maps/?lvl=14&amp;sty=h&amp;cp=34.3806~41.2038&amp;sp=point.34.3806_41.2038","Maplink3")</f>
        <v>Maplink3</v>
      </c>
    </row>
    <row r="43" spans="1:51" x14ac:dyDescent="0.2">
      <c r="A43" s="102">
        <v>33946</v>
      </c>
      <c r="B43" s="103" t="s">
        <v>29</v>
      </c>
      <c r="C43" s="103" t="s">
        <v>77</v>
      </c>
      <c r="D43" s="103" t="s">
        <v>172</v>
      </c>
      <c r="E43" s="103" t="s">
        <v>173</v>
      </c>
      <c r="F43" s="103">
        <v>34.371305499999998</v>
      </c>
      <c r="G43" s="103">
        <v>41.154007700000001</v>
      </c>
      <c r="H43" s="102">
        <v>278</v>
      </c>
      <c r="I43" s="102">
        <v>1668</v>
      </c>
      <c r="J43" s="103"/>
      <c r="K43" s="103"/>
      <c r="L43" s="103"/>
      <c r="M43" s="103">
        <v>240</v>
      </c>
      <c r="N43" s="103">
        <v>38</v>
      </c>
      <c r="O43" s="103"/>
      <c r="P43" s="103"/>
      <c r="Q43" s="103"/>
      <c r="R43" s="103"/>
      <c r="S43" s="103"/>
      <c r="T43" s="103"/>
      <c r="U43" s="103">
        <v>63</v>
      </c>
      <c r="V43" s="103"/>
      <c r="W43" s="103">
        <v>55</v>
      </c>
      <c r="X43" s="103"/>
      <c r="Y43" s="103"/>
      <c r="Z43" s="103"/>
      <c r="AA43" s="103">
        <v>77</v>
      </c>
      <c r="AB43" s="103"/>
      <c r="AC43" s="103">
        <v>18</v>
      </c>
      <c r="AD43" s="103"/>
      <c r="AE43" s="103"/>
      <c r="AF43" s="103"/>
      <c r="AG43" s="103"/>
      <c r="AH43" s="103"/>
      <c r="AI43" s="103"/>
      <c r="AJ43" s="103">
        <v>65</v>
      </c>
      <c r="AK43" s="103"/>
      <c r="AL43" s="103"/>
      <c r="AM43" s="103"/>
      <c r="AN43" s="103"/>
      <c r="AO43" s="103"/>
      <c r="AP43" s="103"/>
      <c r="AQ43" s="103">
        <v>15</v>
      </c>
      <c r="AR43" s="103">
        <v>35</v>
      </c>
      <c r="AS43" s="103">
        <v>85</v>
      </c>
      <c r="AT43" s="103">
        <v>143</v>
      </c>
      <c r="AU43" s="103"/>
      <c r="AV43" s="103"/>
      <c r="AW43" s="104" t="str">
        <f>HYPERLINK("http://www.openstreetmap.org/?mlat=34.3713&amp;mlon=41.154&amp;zoom=12#map=12/34.3713/41.154","Maplink1")</f>
        <v>Maplink1</v>
      </c>
      <c r="AX43" s="104" t="str">
        <f>HYPERLINK("https://www.google.iq/maps/search/+34.3713,41.154/@34.3713,41.154,14z?hl=en","Maplink2")</f>
        <v>Maplink2</v>
      </c>
      <c r="AY43" s="104" t="str">
        <f>HYPERLINK("http://www.bing.com/maps/?lvl=14&amp;sty=h&amp;cp=34.3713~41.154&amp;sp=point.34.3713_41.154","Maplink3")</f>
        <v>Maplink3</v>
      </c>
    </row>
    <row r="44" spans="1:51" x14ac:dyDescent="0.2">
      <c r="A44" s="102">
        <v>33778</v>
      </c>
      <c r="B44" s="103" t="s">
        <v>29</v>
      </c>
      <c r="C44" s="103" t="s">
        <v>77</v>
      </c>
      <c r="D44" s="103" t="s">
        <v>196</v>
      </c>
      <c r="E44" s="103" t="s">
        <v>197</v>
      </c>
      <c r="F44" s="103">
        <v>34.434654500000001</v>
      </c>
      <c r="G44" s="103">
        <v>41.235816399999997</v>
      </c>
      <c r="H44" s="102">
        <v>288</v>
      </c>
      <c r="I44" s="102">
        <v>1728</v>
      </c>
      <c r="J44" s="103"/>
      <c r="K44" s="103"/>
      <c r="L44" s="103"/>
      <c r="M44" s="103">
        <v>262</v>
      </c>
      <c r="N44" s="103">
        <v>26</v>
      </c>
      <c r="O44" s="103"/>
      <c r="P44" s="103"/>
      <c r="Q44" s="103"/>
      <c r="R44" s="103"/>
      <c r="S44" s="103"/>
      <c r="T44" s="103"/>
      <c r="U44" s="103">
        <v>6</v>
      </c>
      <c r="V44" s="103"/>
      <c r="W44" s="103">
        <v>121</v>
      </c>
      <c r="X44" s="103"/>
      <c r="Y44" s="103"/>
      <c r="Z44" s="103"/>
      <c r="AA44" s="103">
        <v>94</v>
      </c>
      <c r="AB44" s="103"/>
      <c r="AC44" s="103"/>
      <c r="AD44" s="103"/>
      <c r="AE44" s="103"/>
      <c r="AF44" s="103"/>
      <c r="AG44" s="103"/>
      <c r="AH44" s="103"/>
      <c r="AI44" s="103"/>
      <c r="AJ44" s="103">
        <v>67</v>
      </c>
      <c r="AK44" s="103"/>
      <c r="AL44" s="103"/>
      <c r="AM44" s="103"/>
      <c r="AN44" s="103"/>
      <c r="AO44" s="103"/>
      <c r="AP44" s="103"/>
      <c r="AQ44" s="103"/>
      <c r="AR44" s="103">
        <v>58</v>
      </c>
      <c r="AS44" s="103">
        <v>61</v>
      </c>
      <c r="AT44" s="103">
        <v>169</v>
      </c>
      <c r="AU44" s="103"/>
      <c r="AV44" s="103"/>
      <c r="AW44" s="104" t="str">
        <f>HYPERLINK("http://www.openstreetmap.org/?mlat=34.4347&amp;mlon=41.2358&amp;zoom=12#map=12/34.4347/41.2358","Maplink1")</f>
        <v>Maplink1</v>
      </c>
      <c r="AX44" s="104" t="str">
        <f>HYPERLINK("https://www.google.iq/maps/search/+34.4347,41.2358/@34.4347,41.2358,14z?hl=en","Maplink2")</f>
        <v>Maplink2</v>
      </c>
      <c r="AY44" s="104" t="str">
        <f>HYPERLINK("http://www.bing.com/maps/?lvl=14&amp;sty=h&amp;cp=34.4347~41.2358&amp;sp=point.34.4347_41.2358","Maplink3")</f>
        <v>Maplink3</v>
      </c>
    </row>
    <row r="45" spans="1:51" x14ac:dyDescent="0.2">
      <c r="A45" s="102">
        <v>33947</v>
      </c>
      <c r="B45" s="103" t="s">
        <v>29</v>
      </c>
      <c r="C45" s="103" t="s">
        <v>77</v>
      </c>
      <c r="D45" s="103" t="s">
        <v>198</v>
      </c>
      <c r="E45" s="103" t="s">
        <v>199</v>
      </c>
      <c r="F45" s="103">
        <v>34.374640900000003</v>
      </c>
      <c r="G45" s="103">
        <v>41.073034399999997</v>
      </c>
      <c r="H45" s="102">
        <v>195</v>
      </c>
      <c r="I45" s="102">
        <v>1170</v>
      </c>
      <c r="J45" s="103"/>
      <c r="K45" s="103"/>
      <c r="L45" s="103"/>
      <c r="M45" s="103">
        <v>177</v>
      </c>
      <c r="N45" s="103">
        <v>18</v>
      </c>
      <c r="O45" s="103"/>
      <c r="P45" s="103"/>
      <c r="Q45" s="103"/>
      <c r="R45" s="103"/>
      <c r="S45" s="103"/>
      <c r="T45" s="103"/>
      <c r="U45" s="103"/>
      <c r="V45" s="103"/>
      <c r="W45" s="103">
        <v>50</v>
      </c>
      <c r="X45" s="103"/>
      <c r="Y45" s="103"/>
      <c r="Z45" s="103"/>
      <c r="AA45" s="103">
        <v>95</v>
      </c>
      <c r="AB45" s="103"/>
      <c r="AC45" s="103">
        <v>15</v>
      </c>
      <c r="AD45" s="103"/>
      <c r="AE45" s="103"/>
      <c r="AF45" s="103"/>
      <c r="AG45" s="103"/>
      <c r="AH45" s="103"/>
      <c r="AI45" s="103"/>
      <c r="AJ45" s="103">
        <v>35</v>
      </c>
      <c r="AK45" s="103"/>
      <c r="AL45" s="103"/>
      <c r="AM45" s="103"/>
      <c r="AN45" s="103"/>
      <c r="AO45" s="103"/>
      <c r="AP45" s="103"/>
      <c r="AQ45" s="103"/>
      <c r="AR45" s="103">
        <v>57</v>
      </c>
      <c r="AS45" s="103">
        <v>120</v>
      </c>
      <c r="AT45" s="103">
        <v>18</v>
      </c>
      <c r="AU45" s="103"/>
      <c r="AV45" s="103"/>
      <c r="AW45" s="104" t="str">
        <f>HYPERLINK("http://www.openstreetmap.org/?mlat=34.3746&amp;mlon=41.073&amp;zoom=12#map=12/34.3746/41.073","Maplink1")</f>
        <v>Maplink1</v>
      </c>
      <c r="AX45" s="104" t="str">
        <f>HYPERLINK("https://www.google.iq/maps/search/+34.3746,41.073/@34.3746,41.073,14z?hl=en","Maplink2")</f>
        <v>Maplink2</v>
      </c>
      <c r="AY45" s="104" t="str">
        <f>HYPERLINK("http://www.bing.com/maps/?lvl=14&amp;sty=h&amp;cp=34.3746~41.073&amp;sp=point.34.3746_41.073","Maplink3")</f>
        <v>Maplink3</v>
      </c>
    </row>
    <row r="46" spans="1:51" x14ac:dyDescent="0.2">
      <c r="A46" s="102">
        <v>33176</v>
      </c>
      <c r="B46" s="103" t="s">
        <v>29</v>
      </c>
      <c r="C46" s="103" t="s">
        <v>77</v>
      </c>
      <c r="D46" s="103" t="s">
        <v>226</v>
      </c>
      <c r="E46" s="103" t="s">
        <v>227</v>
      </c>
      <c r="F46" s="103">
        <v>34.411487000000001</v>
      </c>
      <c r="G46" s="103">
        <v>41.006709999999998</v>
      </c>
      <c r="H46" s="102">
        <v>36</v>
      </c>
      <c r="I46" s="102">
        <v>216</v>
      </c>
      <c r="J46" s="103"/>
      <c r="K46" s="103"/>
      <c r="L46" s="103"/>
      <c r="M46" s="103">
        <v>36</v>
      </c>
      <c r="N46" s="103"/>
      <c r="O46" s="103"/>
      <c r="P46" s="103"/>
      <c r="Q46" s="103"/>
      <c r="R46" s="103"/>
      <c r="S46" s="103"/>
      <c r="T46" s="103"/>
      <c r="U46" s="103">
        <v>17</v>
      </c>
      <c r="V46" s="103"/>
      <c r="W46" s="103">
        <v>19</v>
      </c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>
        <v>36</v>
      </c>
      <c r="AU46" s="103"/>
      <c r="AV46" s="103"/>
      <c r="AW46" s="104" t="str">
        <f>HYPERLINK("http://www.openstreetmap.org/?mlat=34.4115&amp;mlon=41.0067&amp;zoom=12#map=12/34.4115/41.0067","Maplink1")</f>
        <v>Maplink1</v>
      </c>
      <c r="AX46" s="104" t="str">
        <f>HYPERLINK("https://www.google.iq/maps/search/+34.4115,41.0067/@34.4115,41.0067,14z?hl=en","Maplink2")</f>
        <v>Maplink2</v>
      </c>
      <c r="AY46" s="104" t="str">
        <f>HYPERLINK("http://www.bing.com/maps/?lvl=14&amp;sty=h&amp;cp=34.4115~41.0067&amp;sp=point.34.4115_41.0067","Maplink3")</f>
        <v>Maplink3</v>
      </c>
    </row>
    <row r="47" spans="1:51" x14ac:dyDescent="0.2">
      <c r="A47" s="102">
        <v>33944</v>
      </c>
      <c r="B47" s="103" t="s">
        <v>29</v>
      </c>
      <c r="C47" s="103" t="s">
        <v>77</v>
      </c>
      <c r="D47" s="103" t="s">
        <v>228</v>
      </c>
      <c r="E47" s="103" t="s">
        <v>229</v>
      </c>
      <c r="F47" s="103">
        <v>34.372458600000002</v>
      </c>
      <c r="G47" s="103">
        <v>41.177100099999997</v>
      </c>
      <c r="H47" s="102">
        <v>90</v>
      </c>
      <c r="I47" s="102">
        <v>540</v>
      </c>
      <c r="J47" s="103"/>
      <c r="K47" s="103"/>
      <c r="L47" s="103"/>
      <c r="M47" s="103">
        <v>85</v>
      </c>
      <c r="N47" s="103">
        <v>5</v>
      </c>
      <c r="O47" s="103"/>
      <c r="P47" s="103"/>
      <c r="Q47" s="103"/>
      <c r="R47" s="103"/>
      <c r="S47" s="103"/>
      <c r="T47" s="103"/>
      <c r="U47" s="103"/>
      <c r="V47" s="103"/>
      <c r="W47" s="103">
        <v>32</v>
      </c>
      <c r="X47" s="103"/>
      <c r="Y47" s="103"/>
      <c r="Z47" s="103"/>
      <c r="AA47" s="103">
        <v>35</v>
      </c>
      <c r="AB47" s="103"/>
      <c r="AC47" s="103">
        <v>8</v>
      </c>
      <c r="AD47" s="103"/>
      <c r="AE47" s="103"/>
      <c r="AF47" s="103"/>
      <c r="AG47" s="103"/>
      <c r="AH47" s="103"/>
      <c r="AI47" s="103"/>
      <c r="AJ47" s="103">
        <v>15</v>
      </c>
      <c r="AK47" s="103"/>
      <c r="AL47" s="103"/>
      <c r="AM47" s="103"/>
      <c r="AN47" s="103"/>
      <c r="AO47" s="103"/>
      <c r="AP47" s="103"/>
      <c r="AQ47" s="103"/>
      <c r="AR47" s="103">
        <v>25</v>
      </c>
      <c r="AS47" s="103">
        <v>15</v>
      </c>
      <c r="AT47" s="103">
        <v>50</v>
      </c>
      <c r="AU47" s="103"/>
      <c r="AV47" s="103"/>
      <c r="AW47" s="104" t="str">
        <f>HYPERLINK("http://www.openstreetmap.org/?mlat=34.3725&amp;mlon=41.1771&amp;zoom=12#map=12/34.3725/41.1771","Maplink1")</f>
        <v>Maplink1</v>
      </c>
      <c r="AX47" s="104" t="str">
        <f>HYPERLINK("https://www.google.iq/maps/search/+34.3725,41.1771/@34.3725,41.1771,14z?hl=en","Maplink2")</f>
        <v>Maplink2</v>
      </c>
      <c r="AY47" s="104" t="str">
        <f>HYPERLINK("http://www.bing.com/maps/?lvl=14&amp;sty=h&amp;cp=34.3725~41.1771&amp;sp=point.34.3725_41.1771","Maplink3")</f>
        <v>Maplink3</v>
      </c>
    </row>
    <row r="48" spans="1:51" x14ac:dyDescent="0.2">
      <c r="A48" s="102">
        <v>231</v>
      </c>
      <c r="B48" s="103" t="s">
        <v>29</v>
      </c>
      <c r="C48" s="103" t="s">
        <v>78</v>
      </c>
      <c r="D48" s="103" t="s">
        <v>234</v>
      </c>
      <c r="E48" s="103" t="s">
        <v>235</v>
      </c>
      <c r="F48" s="103">
        <v>33.039664212200002</v>
      </c>
      <c r="G48" s="103">
        <v>40.283652619199998</v>
      </c>
      <c r="H48" s="102">
        <v>344</v>
      </c>
      <c r="I48" s="102">
        <v>2064</v>
      </c>
      <c r="J48" s="103"/>
      <c r="K48" s="103"/>
      <c r="L48" s="103"/>
      <c r="M48" s="103">
        <v>344</v>
      </c>
      <c r="N48" s="103"/>
      <c r="O48" s="103"/>
      <c r="P48" s="103"/>
      <c r="Q48" s="103"/>
      <c r="R48" s="103"/>
      <c r="S48" s="103"/>
      <c r="T48" s="103"/>
      <c r="U48" s="103"/>
      <c r="V48" s="103"/>
      <c r="W48" s="103">
        <v>100</v>
      </c>
      <c r="X48" s="103"/>
      <c r="Y48" s="103"/>
      <c r="Z48" s="103"/>
      <c r="AA48" s="103">
        <v>244</v>
      </c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>
        <v>100</v>
      </c>
      <c r="AO48" s="103"/>
      <c r="AP48" s="103">
        <v>244</v>
      </c>
      <c r="AQ48" s="103"/>
      <c r="AR48" s="103"/>
      <c r="AS48" s="103"/>
      <c r="AT48" s="103"/>
      <c r="AU48" s="103"/>
      <c r="AV48" s="103"/>
      <c r="AW48" s="104" t="str">
        <f>HYPERLINK("http://www.openstreetmap.org/?mlat=33.0397&amp;mlon=40.2837&amp;zoom=12#map=12/33.0397/40.2837","Maplink1")</f>
        <v>Maplink1</v>
      </c>
      <c r="AX48" s="104" t="str">
        <f>HYPERLINK("https://www.google.iq/maps/search/+33.0397,40.2837/@33.0397,40.2837,14z?hl=en","Maplink2")</f>
        <v>Maplink2</v>
      </c>
      <c r="AY48" s="104" t="str">
        <f>HYPERLINK("http://www.bing.com/maps/?lvl=14&amp;sty=h&amp;cp=33.0397~40.2837&amp;sp=point.33.0397_40.2837","Maplink3")</f>
        <v>Maplink3</v>
      </c>
    </row>
    <row r="49" spans="1:51" x14ac:dyDescent="0.2">
      <c r="A49" s="102">
        <v>233</v>
      </c>
      <c r="B49" s="103" t="s">
        <v>29</v>
      </c>
      <c r="C49" s="103" t="s">
        <v>78</v>
      </c>
      <c r="D49" s="103" t="s">
        <v>236</v>
      </c>
      <c r="E49" s="103" t="s">
        <v>237</v>
      </c>
      <c r="F49" s="103">
        <v>33.034610843700001</v>
      </c>
      <c r="G49" s="103">
        <v>40.286680133300003</v>
      </c>
      <c r="H49" s="102">
        <v>697</v>
      </c>
      <c r="I49" s="102">
        <v>4182</v>
      </c>
      <c r="J49" s="103"/>
      <c r="K49" s="103"/>
      <c r="L49" s="103"/>
      <c r="M49" s="103">
        <v>644</v>
      </c>
      <c r="N49" s="103">
        <v>53</v>
      </c>
      <c r="O49" s="103"/>
      <c r="P49" s="103"/>
      <c r="Q49" s="103"/>
      <c r="R49" s="103"/>
      <c r="S49" s="103"/>
      <c r="T49" s="103"/>
      <c r="U49" s="103">
        <v>247</v>
      </c>
      <c r="V49" s="103"/>
      <c r="W49" s="103">
        <v>397</v>
      </c>
      <c r="X49" s="103"/>
      <c r="Y49" s="103"/>
      <c r="Z49" s="103"/>
      <c r="AA49" s="103">
        <v>53</v>
      </c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  <c r="AN49" s="103">
        <v>210</v>
      </c>
      <c r="AO49" s="103"/>
      <c r="AP49" s="103">
        <v>234</v>
      </c>
      <c r="AQ49" s="103"/>
      <c r="AR49" s="103">
        <v>247</v>
      </c>
      <c r="AS49" s="103"/>
      <c r="AT49" s="103"/>
      <c r="AU49" s="103">
        <v>6</v>
      </c>
      <c r="AV49" s="103"/>
      <c r="AW49" s="104" t="str">
        <f>HYPERLINK("http://www.openstreetmap.org/?mlat=33.0346&amp;mlon=40.2867&amp;zoom=12#map=12/33.0346/40.2867","Maplink1")</f>
        <v>Maplink1</v>
      </c>
      <c r="AX49" s="104" t="str">
        <f>HYPERLINK("https://www.google.iq/maps/search/+33.0346,40.2867/@33.0346,40.2867,14z?hl=en","Maplink2")</f>
        <v>Maplink2</v>
      </c>
      <c r="AY49" s="104" t="str">
        <f>HYPERLINK("http://www.bing.com/maps/?lvl=14&amp;sty=h&amp;cp=33.0346~40.2867&amp;sp=point.33.0346_40.2867","Maplink3")</f>
        <v>Maplink3</v>
      </c>
    </row>
    <row r="50" spans="1:51" x14ac:dyDescent="0.2">
      <c r="A50" s="102">
        <v>165</v>
      </c>
      <c r="B50" s="103" t="s">
        <v>29</v>
      </c>
      <c r="C50" s="103" t="s">
        <v>78</v>
      </c>
      <c r="D50" s="103" t="s">
        <v>238</v>
      </c>
      <c r="E50" s="103" t="s">
        <v>195</v>
      </c>
      <c r="F50" s="103">
        <v>33.0380018894</v>
      </c>
      <c r="G50" s="103">
        <v>40.302634436699996</v>
      </c>
      <c r="H50" s="102">
        <v>256</v>
      </c>
      <c r="I50" s="102">
        <v>1536</v>
      </c>
      <c r="J50" s="103"/>
      <c r="K50" s="103"/>
      <c r="L50" s="103"/>
      <c r="M50" s="103">
        <v>201</v>
      </c>
      <c r="N50" s="103">
        <v>55</v>
      </c>
      <c r="O50" s="103"/>
      <c r="P50" s="103"/>
      <c r="Q50" s="103"/>
      <c r="R50" s="103"/>
      <c r="S50" s="103"/>
      <c r="T50" s="103"/>
      <c r="U50" s="103">
        <v>11</v>
      </c>
      <c r="V50" s="103"/>
      <c r="W50" s="103">
        <v>20</v>
      </c>
      <c r="X50" s="103"/>
      <c r="Y50" s="103">
        <v>10</v>
      </c>
      <c r="Z50" s="103"/>
      <c r="AA50" s="103">
        <v>92</v>
      </c>
      <c r="AB50" s="103"/>
      <c r="AC50" s="103">
        <v>113</v>
      </c>
      <c r="AD50" s="103"/>
      <c r="AE50" s="103"/>
      <c r="AF50" s="103"/>
      <c r="AG50" s="103"/>
      <c r="AH50" s="103"/>
      <c r="AI50" s="103"/>
      <c r="AJ50" s="103">
        <v>10</v>
      </c>
      <c r="AK50" s="103"/>
      <c r="AL50" s="103"/>
      <c r="AM50" s="103"/>
      <c r="AN50" s="103">
        <v>192</v>
      </c>
      <c r="AO50" s="103"/>
      <c r="AP50" s="103">
        <v>21</v>
      </c>
      <c r="AQ50" s="103">
        <v>8</v>
      </c>
      <c r="AR50" s="103"/>
      <c r="AS50" s="103"/>
      <c r="AT50" s="103"/>
      <c r="AU50" s="103">
        <v>35</v>
      </c>
      <c r="AV50" s="103"/>
      <c r="AW50" s="104" t="str">
        <f>HYPERLINK("http://www.openstreetmap.org/?mlat=33.038&amp;mlon=40.3026&amp;zoom=12#map=12/33.038/40.3026","Maplink1")</f>
        <v>Maplink1</v>
      </c>
      <c r="AX50" s="104" t="str">
        <f>HYPERLINK("https://www.google.iq/maps/search/+33.038,40.3026/@33.038,40.3026,14z?hl=en","Maplink2")</f>
        <v>Maplink2</v>
      </c>
      <c r="AY50" s="104" t="str">
        <f>HYPERLINK("http://www.bing.com/maps/?lvl=14&amp;sty=h&amp;cp=33.038~40.3026&amp;sp=point.33.038_40.3026","Maplink3")</f>
        <v>Maplink3</v>
      </c>
    </row>
    <row r="51" spans="1:51" x14ac:dyDescent="0.2">
      <c r="A51" s="102">
        <v>23935</v>
      </c>
      <c r="B51" s="103" t="s">
        <v>29</v>
      </c>
      <c r="C51" s="103" t="s">
        <v>78</v>
      </c>
      <c r="D51" s="103" t="s">
        <v>243</v>
      </c>
      <c r="E51" s="103" t="s">
        <v>244</v>
      </c>
      <c r="F51" s="103">
        <v>33.043026676300002</v>
      </c>
      <c r="G51" s="103">
        <v>40.380383457699999</v>
      </c>
      <c r="H51" s="102">
        <v>420</v>
      </c>
      <c r="I51" s="102">
        <v>2520</v>
      </c>
      <c r="J51" s="103"/>
      <c r="K51" s="103"/>
      <c r="L51" s="103"/>
      <c r="M51" s="103">
        <v>412</v>
      </c>
      <c r="N51" s="103">
        <v>8</v>
      </c>
      <c r="O51" s="103"/>
      <c r="P51" s="103"/>
      <c r="Q51" s="103"/>
      <c r="R51" s="103"/>
      <c r="S51" s="103"/>
      <c r="T51" s="103"/>
      <c r="U51" s="103">
        <v>24</v>
      </c>
      <c r="V51" s="103"/>
      <c r="W51" s="103">
        <v>170</v>
      </c>
      <c r="X51" s="103"/>
      <c r="Y51" s="103"/>
      <c r="Z51" s="103"/>
      <c r="AA51" s="103">
        <v>222</v>
      </c>
      <c r="AB51" s="103"/>
      <c r="AC51" s="103"/>
      <c r="AD51" s="103"/>
      <c r="AE51" s="103"/>
      <c r="AF51" s="103"/>
      <c r="AG51" s="103"/>
      <c r="AH51" s="103"/>
      <c r="AI51" s="103"/>
      <c r="AJ51" s="103">
        <v>4</v>
      </c>
      <c r="AK51" s="103"/>
      <c r="AL51" s="103"/>
      <c r="AM51" s="103"/>
      <c r="AN51" s="103">
        <v>194</v>
      </c>
      <c r="AO51" s="103"/>
      <c r="AP51" s="103">
        <v>218</v>
      </c>
      <c r="AQ51" s="103"/>
      <c r="AR51" s="103"/>
      <c r="AS51" s="103"/>
      <c r="AT51" s="103"/>
      <c r="AU51" s="103">
        <v>8</v>
      </c>
      <c r="AV51" s="103"/>
      <c r="AW51" s="104" t="str">
        <f>HYPERLINK("http://www.openstreetmap.org/?mlat=33.043&amp;mlon=40.3804&amp;zoom=12#map=12/33.043/40.3804","Maplink1")</f>
        <v>Maplink1</v>
      </c>
      <c r="AX51" s="104" t="str">
        <f>HYPERLINK("https://www.google.iq/maps/search/+33.043,40.3804/@33.043,40.3804,14z?hl=en","Maplink2")</f>
        <v>Maplink2</v>
      </c>
      <c r="AY51" s="104" t="str">
        <f>HYPERLINK("http://www.bing.com/maps/?lvl=14&amp;sty=h&amp;cp=33.043~40.3804&amp;sp=point.33.043_40.3804","Maplink3")</f>
        <v>Maplink3</v>
      </c>
    </row>
    <row r="52" spans="1:51" x14ac:dyDescent="0.2">
      <c r="A52" s="102">
        <v>150</v>
      </c>
      <c r="B52" s="103" t="s">
        <v>29</v>
      </c>
      <c r="C52" s="103" t="s">
        <v>78</v>
      </c>
      <c r="D52" s="103" t="s">
        <v>247</v>
      </c>
      <c r="E52" s="103" t="s">
        <v>248</v>
      </c>
      <c r="F52" s="103">
        <v>33.037615909099998</v>
      </c>
      <c r="G52" s="103">
        <v>40.284264429899999</v>
      </c>
      <c r="H52" s="102">
        <v>555</v>
      </c>
      <c r="I52" s="102">
        <v>3330</v>
      </c>
      <c r="J52" s="103"/>
      <c r="K52" s="103"/>
      <c r="L52" s="103">
        <v>12</v>
      </c>
      <c r="M52" s="103">
        <v>510</v>
      </c>
      <c r="N52" s="103">
        <v>33</v>
      </c>
      <c r="O52" s="103"/>
      <c r="P52" s="103"/>
      <c r="Q52" s="103"/>
      <c r="R52" s="103"/>
      <c r="S52" s="103"/>
      <c r="T52" s="103"/>
      <c r="U52" s="103">
        <v>91</v>
      </c>
      <c r="V52" s="103"/>
      <c r="W52" s="103">
        <v>240</v>
      </c>
      <c r="X52" s="103"/>
      <c r="Y52" s="103">
        <v>8</v>
      </c>
      <c r="Z52" s="103"/>
      <c r="AA52" s="103">
        <v>212</v>
      </c>
      <c r="AB52" s="103"/>
      <c r="AC52" s="103">
        <v>4</v>
      </c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>
        <v>401</v>
      </c>
      <c r="AO52" s="103"/>
      <c r="AP52" s="103">
        <v>32</v>
      </c>
      <c r="AQ52" s="103">
        <v>12</v>
      </c>
      <c r="AR52" s="103">
        <v>91</v>
      </c>
      <c r="AS52" s="103"/>
      <c r="AT52" s="103"/>
      <c r="AU52" s="103">
        <v>19</v>
      </c>
      <c r="AV52" s="103"/>
      <c r="AW52" s="104" t="str">
        <f>HYPERLINK("http://www.openstreetmap.org/?mlat=33.0376&amp;mlon=40.2843&amp;zoom=12#map=12/33.0376/40.2843","Maplink1")</f>
        <v>Maplink1</v>
      </c>
      <c r="AX52" s="104" t="str">
        <f>HYPERLINK("https://www.google.iq/maps/search/+33.0376,40.2843/@33.0376,40.2843,14z?hl=en","Maplink2")</f>
        <v>Maplink2</v>
      </c>
      <c r="AY52" s="104" t="str">
        <f>HYPERLINK("http://www.bing.com/maps/?lvl=14&amp;sty=h&amp;cp=33.0376~40.2843&amp;sp=point.33.0376_40.2843","Maplink3")</f>
        <v>Maplink3</v>
      </c>
    </row>
    <row r="53" spans="1:51" x14ac:dyDescent="0.2">
      <c r="A53" s="102">
        <v>23936</v>
      </c>
      <c r="B53" s="103" t="s">
        <v>29</v>
      </c>
      <c r="C53" s="103" t="s">
        <v>78</v>
      </c>
      <c r="D53" s="103" t="s">
        <v>241</v>
      </c>
      <c r="E53" s="103" t="s">
        <v>242</v>
      </c>
      <c r="F53" s="103">
        <v>33.060220907599998</v>
      </c>
      <c r="G53" s="103">
        <v>40.345566290199997</v>
      </c>
      <c r="H53" s="102">
        <v>100</v>
      </c>
      <c r="I53" s="102">
        <v>600</v>
      </c>
      <c r="J53" s="103"/>
      <c r="K53" s="103"/>
      <c r="L53" s="103"/>
      <c r="M53" s="103">
        <v>83</v>
      </c>
      <c r="N53" s="103">
        <v>17</v>
      </c>
      <c r="O53" s="103"/>
      <c r="P53" s="103"/>
      <c r="Q53" s="103"/>
      <c r="R53" s="103"/>
      <c r="S53" s="103"/>
      <c r="T53" s="103"/>
      <c r="U53" s="103">
        <v>42</v>
      </c>
      <c r="V53" s="103"/>
      <c r="W53" s="103">
        <v>32</v>
      </c>
      <c r="X53" s="103"/>
      <c r="Y53" s="103"/>
      <c r="Z53" s="103"/>
      <c r="AA53" s="103">
        <v>26</v>
      </c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>
        <v>43</v>
      </c>
      <c r="AQ53" s="103">
        <v>32</v>
      </c>
      <c r="AR53" s="103"/>
      <c r="AS53" s="103"/>
      <c r="AT53" s="103"/>
      <c r="AU53" s="103">
        <v>25</v>
      </c>
      <c r="AV53" s="103"/>
      <c r="AW53" s="104" t="str">
        <f>HYPERLINK("http://www.openstreetmap.org/?mlat=33.0602&amp;mlon=40.3456&amp;zoom=12#map=12/33.0602/40.3456","Maplink1")</f>
        <v>Maplink1</v>
      </c>
      <c r="AX53" s="104" t="str">
        <f>HYPERLINK("https://www.google.iq/maps/search/+33.0602,40.3456/@33.0602,40.3456,14z?hl=en","Maplink2")</f>
        <v>Maplink2</v>
      </c>
      <c r="AY53" s="104" t="str">
        <f>HYPERLINK("http://www.bing.com/maps/?lvl=14&amp;sty=h&amp;cp=33.0602~40.3456&amp;sp=point.33.0602_40.3456","Maplink3")</f>
        <v>Maplink3</v>
      </c>
    </row>
    <row r="54" spans="1:51" x14ac:dyDescent="0.2">
      <c r="A54" s="102">
        <v>167</v>
      </c>
      <c r="B54" s="103" t="s">
        <v>29</v>
      </c>
      <c r="C54" s="103" t="s">
        <v>78</v>
      </c>
      <c r="D54" s="103" t="s">
        <v>232</v>
      </c>
      <c r="E54" s="103" t="s">
        <v>233</v>
      </c>
      <c r="F54" s="103">
        <v>33.031265636199997</v>
      </c>
      <c r="G54" s="103">
        <v>40.299014793200001</v>
      </c>
      <c r="H54" s="102">
        <v>986</v>
      </c>
      <c r="I54" s="102">
        <v>5916</v>
      </c>
      <c r="J54" s="103"/>
      <c r="K54" s="103"/>
      <c r="L54" s="103"/>
      <c r="M54" s="103">
        <v>965</v>
      </c>
      <c r="N54" s="103">
        <v>21</v>
      </c>
      <c r="O54" s="103"/>
      <c r="P54" s="103"/>
      <c r="Q54" s="103"/>
      <c r="R54" s="103"/>
      <c r="S54" s="103"/>
      <c r="T54" s="103"/>
      <c r="U54" s="103">
        <v>388</v>
      </c>
      <c r="V54" s="103"/>
      <c r="W54" s="103">
        <v>383</v>
      </c>
      <c r="X54" s="103"/>
      <c r="Y54" s="103"/>
      <c r="Z54" s="103"/>
      <c r="AA54" s="103">
        <v>47</v>
      </c>
      <c r="AB54" s="103"/>
      <c r="AC54" s="103">
        <v>143</v>
      </c>
      <c r="AD54" s="103"/>
      <c r="AE54" s="103"/>
      <c r="AF54" s="103"/>
      <c r="AG54" s="103"/>
      <c r="AH54" s="103"/>
      <c r="AI54" s="103"/>
      <c r="AJ54" s="103">
        <v>25</v>
      </c>
      <c r="AK54" s="103"/>
      <c r="AL54" s="103"/>
      <c r="AM54" s="103">
        <v>230</v>
      </c>
      <c r="AN54" s="103">
        <v>201</v>
      </c>
      <c r="AO54" s="103"/>
      <c r="AP54" s="103">
        <v>185</v>
      </c>
      <c r="AQ54" s="103"/>
      <c r="AR54" s="103">
        <v>370</v>
      </c>
      <c r="AS54" s="103"/>
      <c r="AT54" s="103"/>
      <c r="AU54" s="103"/>
      <c r="AV54" s="103"/>
      <c r="AW54" s="104" t="str">
        <f>HYPERLINK("http://www.openstreetmap.org/?mlat=33.0313&amp;mlon=40.299&amp;zoom=12#map=12/33.0313/40.299","Maplink1")</f>
        <v>Maplink1</v>
      </c>
      <c r="AX54" s="104" t="str">
        <f>HYPERLINK("https://www.google.iq/maps/search/+33.0313,40.299/@33.0313,40.299,14z?hl=en","Maplink2")</f>
        <v>Maplink2</v>
      </c>
      <c r="AY54" s="104" t="str">
        <f>HYPERLINK("http://www.bing.com/maps/?lvl=14&amp;sty=h&amp;cp=33.0313~40.299&amp;sp=point.33.0313_40.299","Maplink3")</f>
        <v>Maplink3</v>
      </c>
    </row>
    <row r="55" spans="1:51" x14ac:dyDescent="0.2">
      <c r="A55" s="102">
        <v>23888</v>
      </c>
      <c r="B55" s="103" t="s">
        <v>29</v>
      </c>
      <c r="C55" s="103" t="s">
        <v>78</v>
      </c>
      <c r="D55" s="103" t="s">
        <v>239</v>
      </c>
      <c r="E55" s="103" t="s">
        <v>240</v>
      </c>
      <c r="F55" s="103">
        <v>33.042455232199998</v>
      </c>
      <c r="G55" s="103">
        <v>40.2780390713</v>
      </c>
      <c r="H55" s="102">
        <v>751</v>
      </c>
      <c r="I55" s="102">
        <v>4506</v>
      </c>
      <c r="J55" s="103"/>
      <c r="K55" s="103"/>
      <c r="L55" s="103"/>
      <c r="M55" s="103">
        <v>679</v>
      </c>
      <c r="N55" s="103">
        <v>72</v>
      </c>
      <c r="O55" s="103"/>
      <c r="P55" s="103"/>
      <c r="Q55" s="103"/>
      <c r="R55" s="103"/>
      <c r="S55" s="103"/>
      <c r="T55" s="103"/>
      <c r="U55" s="103">
        <v>210</v>
      </c>
      <c r="V55" s="103"/>
      <c r="W55" s="103">
        <v>367</v>
      </c>
      <c r="X55" s="103"/>
      <c r="Y55" s="103"/>
      <c r="Z55" s="103"/>
      <c r="AA55" s="103">
        <v>174</v>
      </c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>
        <v>174</v>
      </c>
      <c r="AO55" s="103"/>
      <c r="AP55" s="103">
        <v>367</v>
      </c>
      <c r="AQ55" s="103"/>
      <c r="AR55" s="103">
        <v>210</v>
      </c>
      <c r="AS55" s="103"/>
      <c r="AT55" s="103"/>
      <c r="AU55" s="103"/>
      <c r="AV55" s="103"/>
      <c r="AW55" s="104" t="str">
        <f>HYPERLINK("http://www.openstreetmap.org/?mlat=33.0425&amp;mlon=40.278&amp;zoom=12#map=12/33.0425/40.278","Maplink1")</f>
        <v>Maplink1</v>
      </c>
      <c r="AX55" s="104" t="str">
        <f>HYPERLINK("https://www.google.iq/maps/search/+33.0425,40.278/@33.0425,40.278,14z?hl=en","Maplink2")</f>
        <v>Maplink2</v>
      </c>
      <c r="AY55" s="104" t="str">
        <f>HYPERLINK("http://www.bing.com/maps/?lvl=14&amp;sty=h&amp;cp=33.0425~40.278&amp;sp=point.33.0425_40.278","Maplink3")</f>
        <v>Maplink3</v>
      </c>
    </row>
    <row r="56" spans="1:51" x14ac:dyDescent="0.2">
      <c r="A56" s="102">
        <v>166</v>
      </c>
      <c r="B56" s="103" t="s">
        <v>29</v>
      </c>
      <c r="C56" s="103" t="s">
        <v>78</v>
      </c>
      <c r="D56" s="103" t="s">
        <v>245</v>
      </c>
      <c r="E56" s="103" t="s">
        <v>246</v>
      </c>
      <c r="F56" s="103">
        <v>33.031973538300001</v>
      </c>
      <c r="G56" s="103">
        <v>40.290472172599998</v>
      </c>
      <c r="H56" s="102">
        <v>479</v>
      </c>
      <c r="I56" s="102">
        <v>2874</v>
      </c>
      <c r="J56" s="103"/>
      <c r="K56" s="103"/>
      <c r="L56" s="103"/>
      <c r="M56" s="103">
        <v>452</v>
      </c>
      <c r="N56" s="103">
        <v>27</v>
      </c>
      <c r="O56" s="103"/>
      <c r="P56" s="103"/>
      <c r="Q56" s="103"/>
      <c r="R56" s="103"/>
      <c r="S56" s="103"/>
      <c r="T56" s="103"/>
      <c r="U56" s="103">
        <v>11</v>
      </c>
      <c r="V56" s="103"/>
      <c r="W56" s="103">
        <v>316</v>
      </c>
      <c r="X56" s="103"/>
      <c r="Y56" s="103"/>
      <c r="Z56" s="103"/>
      <c r="AA56" s="103">
        <v>144</v>
      </c>
      <c r="AB56" s="103"/>
      <c r="AC56" s="103"/>
      <c r="AD56" s="103"/>
      <c r="AE56" s="103"/>
      <c r="AF56" s="103"/>
      <c r="AG56" s="103"/>
      <c r="AH56" s="103"/>
      <c r="AI56" s="103"/>
      <c r="AJ56" s="103">
        <v>8</v>
      </c>
      <c r="AK56" s="103"/>
      <c r="AL56" s="103"/>
      <c r="AM56" s="103">
        <v>175</v>
      </c>
      <c r="AN56" s="103">
        <v>125</v>
      </c>
      <c r="AO56" s="103"/>
      <c r="AP56" s="103">
        <v>152</v>
      </c>
      <c r="AQ56" s="103"/>
      <c r="AR56" s="103"/>
      <c r="AS56" s="103"/>
      <c r="AT56" s="103"/>
      <c r="AU56" s="103">
        <v>27</v>
      </c>
      <c r="AV56" s="103"/>
      <c r="AW56" s="104" t="str">
        <f>HYPERLINK("http://www.openstreetmap.org/?mlat=33.032&amp;mlon=40.2905&amp;zoom=12#map=12/33.032/40.2905","Maplink1")</f>
        <v>Maplink1</v>
      </c>
      <c r="AX56" s="104" t="str">
        <f>HYPERLINK("https://www.google.iq/maps/search/+33.032,40.2905/@33.032,40.2905,14z?hl=en","Maplink2")</f>
        <v>Maplink2</v>
      </c>
      <c r="AY56" s="104" t="str">
        <f>HYPERLINK("http://www.bing.com/maps/?lvl=14&amp;sty=h&amp;cp=33.032~40.2905&amp;sp=point.33.032_40.2905","Maplink3")</f>
        <v>Maplink3</v>
      </c>
    </row>
    <row r="57" spans="1:51" x14ac:dyDescent="0.2">
      <c r="A57" s="102">
        <v>247</v>
      </c>
      <c r="B57" s="103" t="s">
        <v>29</v>
      </c>
      <c r="C57" s="103" t="s">
        <v>79</v>
      </c>
      <c r="D57" s="103" t="s">
        <v>267</v>
      </c>
      <c r="E57" s="103" t="s">
        <v>268</v>
      </c>
      <c r="F57" s="103">
        <v>34.340734601699999</v>
      </c>
      <c r="G57" s="103">
        <v>42.026873820900001</v>
      </c>
      <c r="H57" s="102">
        <v>413</v>
      </c>
      <c r="I57" s="102">
        <v>2478</v>
      </c>
      <c r="J57" s="103"/>
      <c r="K57" s="103"/>
      <c r="L57" s="103"/>
      <c r="M57" s="103">
        <v>389</v>
      </c>
      <c r="N57" s="103">
        <v>24</v>
      </c>
      <c r="O57" s="103"/>
      <c r="P57" s="103"/>
      <c r="Q57" s="103"/>
      <c r="R57" s="103"/>
      <c r="S57" s="103"/>
      <c r="T57" s="103"/>
      <c r="U57" s="103">
        <v>272</v>
      </c>
      <c r="V57" s="103"/>
      <c r="W57" s="103">
        <v>35</v>
      </c>
      <c r="X57" s="103"/>
      <c r="Y57" s="103"/>
      <c r="Z57" s="103"/>
      <c r="AA57" s="103">
        <v>75</v>
      </c>
      <c r="AB57" s="103"/>
      <c r="AC57" s="103"/>
      <c r="AD57" s="103"/>
      <c r="AE57" s="103"/>
      <c r="AF57" s="103"/>
      <c r="AG57" s="103"/>
      <c r="AH57" s="103"/>
      <c r="AI57" s="103"/>
      <c r="AJ57" s="103">
        <v>31</v>
      </c>
      <c r="AK57" s="103"/>
      <c r="AL57" s="103"/>
      <c r="AM57" s="103"/>
      <c r="AN57" s="103"/>
      <c r="AO57" s="103"/>
      <c r="AP57" s="103"/>
      <c r="AQ57" s="103"/>
      <c r="AR57" s="103">
        <v>45</v>
      </c>
      <c r="AS57" s="103">
        <v>185</v>
      </c>
      <c r="AT57" s="103">
        <v>183</v>
      </c>
      <c r="AU57" s="103"/>
      <c r="AV57" s="103"/>
      <c r="AW57" s="104" t="str">
        <f>HYPERLINK("http://www.openstreetmap.org/?mlat=34.3407&amp;mlon=42.0269&amp;zoom=12#map=12/34.3407/42.0269","Maplink1")</f>
        <v>Maplink1</v>
      </c>
      <c r="AX57" s="104" t="str">
        <f>HYPERLINK("https://www.google.iq/maps/search/+34.3407,42.0269/@34.3407,42.0269,14z?hl=en","Maplink2")</f>
        <v>Maplink2</v>
      </c>
      <c r="AY57" s="104" t="str">
        <f>HYPERLINK("http://www.bing.com/maps/?lvl=14&amp;sty=h&amp;cp=34.3407~42.0269&amp;sp=point.34.3407_42.0269","Maplink3")</f>
        <v>Maplink3</v>
      </c>
    </row>
    <row r="58" spans="1:51" x14ac:dyDescent="0.2">
      <c r="A58" s="102">
        <v>109</v>
      </c>
      <c r="B58" s="103" t="s">
        <v>29</v>
      </c>
      <c r="C58" s="103" t="s">
        <v>79</v>
      </c>
      <c r="D58" s="103" t="s">
        <v>264</v>
      </c>
      <c r="E58" s="103" t="s">
        <v>207</v>
      </c>
      <c r="F58" s="103">
        <v>34.374835169000001</v>
      </c>
      <c r="G58" s="103">
        <v>41.987610246199999</v>
      </c>
      <c r="H58" s="102">
        <v>293</v>
      </c>
      <c r="I58" s="102">
        <v>1758</v>
      </c>
      <c r="J58" s="103"/>
      <c r="K58" s="103"/>
      <c r="L58" s="103"/>
      <c r="M58" s="103">
        <v>293</v>
      </c>
      <c r="N58" s="103"/>
      <c r="O58" s="103"/>
      <c r="P58" s="103"/>
      <c r="Q58" s="103"/>
      <c r="R58" s="103"/>
      <c r="S58" s="103"/>
      <c r="T58" s="103"/>
      <c r="U58" s="103">
        <v>213</v>
      </c>
      <c r="V58" s="103"/>
      <c r="W58" s="103">
        <v>25</v>
      </c>
      <c r="X58" s="103"/>
      <c r="Y58" s="103"/>
      <c r="Z58" s="103"/>
      <c r="AA58" s="103">
        <v>38</v>
      </c>
      <c r="AB58" s="103"/>
      <c r="AC58" s="103"/>
      <c r="AD58" s="103"/>
      <c r="AE58" s="103"/>
      <c r="AF58" s="103"/>
      <c r="AG58" s="103"/>
      <c r="AH58" s="103"/>
      <c r="AI58" s="103"/>
      <c r="AJ58" s="103">
        <v>17</v>
      </c>
      <c r="AK58" s="103"/>
      <c r="AL58" s="103"/>
      <c r="AM58" s="103"/>
      <c r="AN58" s="103"/>
      <c r="AO58" s="103"/>
      <c r="AP58" s="103"/>
      <c r="AQ58" s="103"/>
      <c r="AR58" s="103">
        <v>20</v>
      </c>
      <c r="AS58" s="103">
        <v>57</v>
      </c>
      <c r="AT58" s="103">
        <v>216</v>
      </c>
      <c r="AU58" s="103"/>
      <c r="AV58" s="103"/>
      <c r="AW58" s="104" t="str">
        <f>HYPERLINK("http://www.openstreetmap.org/?mlat=34.3748&amp;mlon=41.9876&amp;zoom=12#map=12/34.3748/41.9876","Maplink1")</f>
        <v>Maplink1</v>
      </c>
      <c r="AX58" s="104" t="str">
        <f>HYPERLINK("https://www.google.iq/maps/search/+34.3748,41.9876/@34.3748,41.9876,14z?hl=en","Maplink2")</f>
        <v>Maplink2</v>
      </c>
      <c r="AY58" s="104" t="str">
        <f>HYPERLINK("http://www.bing.com/maps/?lvl=14&amp;sty=h&amp;cp=34.3748~41.9876&amp;sp=point.34.3748_41.9876","Maplink3")</f>
        <v>Maplink3</v>
      </c>
    </row>
    <row r="59" spans="1:51" x14ac:dyDescent="0.2">
      <c r="A59" s="102">
        <v>250</v>
      </c>
      <c r="B59" s="103" t="s">
        <v>29</v>
      </c>
      <c r="C59" s="103" t="s">
        <v>79</v>
      </c>
      <c r="D59" s="103" t="s">
        <v>253</v>
      </c>
      <c r="E59" s="103" t="s">
        <v>254</v>
      </c>
      <c r="F59" s="103">
        <v>34.367794222900002</v>
      </c>
      <c r="G59" s="103">
        <v>41.990944452199997</v>
      </c>
      <c r="H59" s="102">
        <v>234</v>
      </c>
      <c r="I59" s="102">
        <v>1404</v>
      </c>
      <c r="J59" s="103"/>
      <c r="K59" s="103"/>
      <c r="L59" s="103"/>
      <c r="M59" s="103">
        <v>234</v>
      </c>
      <c r="N59" s="103"/>
      <c r="O59" s="103"/>
      <c r="P59" s="103"/>
      <c r="Q59" s="103"/>
      <c r="R59" s="103"/>
      <c r="S59" s="103"/>
      <c r="T59" s="103"/>
      <c r="U59" s="103">
        <v>142</v>
      </c>
      <c r="V59" s="103"/>
      <c r="W59" s="103">
        <v>43</v>
      </c>
      <c r="X59" s="103"/>
      <c r="Y59" s="103"/>
      <c r="Z59" s="103"/>
      <c r="AA59" s="103">
        <v>49</v>
      </c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>
        <v>10</v>
      </c>
      <c r="AS59" s="103">
        <v>48</v>
      </c>
      <c r="AT59" s="103">
        <v>176</v>
      </c>
      <c r="AU59" s="103"/>
      <c r="AV59" s="103"/>
      <c r="AW59" s="104" t="str">
        <f>HYPERLINK("http://www.openstreetmap.org/?mlat=34.3678&amp;mlon=41.9909&amp;zoom=12#map=12/34.3678/41.9909","Maplink1")</f>
        <v>Maplink1</v>
      </c>
      <c r="AX59" s="104" t="str">
        <f>HYPERLINK("https://www.google.iq/maps/search/+34.3678,41.9909/@34.3678,41.9909,14z?hl=en","Maplink2")</f>
        <v>Maplink2</v>
      </c>
      <c r="AY59" s="104" t="str">
        <f>HYPERLINK("http://www.bing.com/maps/?lvl=14&amp;sty=h&amp;cp=34.3678~41.9909&amp;sp=point.34.3678_41.9909","Maplink3")</f>
        <v>Maplink3</v>
      </c>
    </row>
    <row r="60" spans="1:51" x14ac:dyDescent="0.2">
      <c r="A60" s="102">
        <v>253</v>
      </c>
      <c r="B60" s="103" t="s">
        <v>29</v>
      </c>
      <c r="C60" s="103" t="s">
        <v>79</v>
      </c>
      <c r="D60" s="103" t="s">
        <v>259</v>
      </c>
      <c r="E60" s="103" t="s">
        <v>149</v>
      </c>
      <c r="F60" s="103">
        <v>34.371505609099998</v>
      </c>
      <c r="G60" s="103">
        <v>41.969788575499997</v>
      </c>
      <c r="H60" s="102">
        <v>191</v>
      </c>
      <c r="I60" s="102">
        <v>1146</v>
      </c>
      <c r="J60" s="103"/>
      <c r="K60" s="103"/>
      <c r="L60" s="103">
        <v>10</v>
      </c>
      <c r="M60" s="103">
        <v>181</v>
      </c>
      <c r="N60" s="103"/>
      <c r="O60" s="103"/>
      <c r="P60" s="103"/>
      <c r="Q60" s="103"/>
      <c r="R60" s="103"/>
      <c r="S60" s="103"/>
      <c r="T60" s="103"/>
      <c r="U60" s="103">
        <v>74</v>
      </c>
      <c r="V60" s="103"/>
      <c r="W60" s="103">
        <v>32</v>
      </c>
      <c r="X60" s="103"/>
      <c r="Y60" s="103"/>
      <c r="Z60" s="103"/>
      <c r="AA60" s="103">
        <v>68</v>
      </c>
      <c r="AB60" s="103"/>
      <c r="AC60" s="103"/>
      <c r="AD60" s="103"/>
      <c r="AE60" s="103"/>
      <c r="AF60" s="103"/>
      <c r="AG60" s="103"/>
      <c r="AH60" s="103"/>
      <c r="AI60" s="103"/>
      <c r="AJ60" s="103">
        <v>17</v>
      </c>
      <c r="AK60" s="103"/>
      <c r="AL60" s="103"/>
      <c r="AM60" s="103"/>
      <c r="AN60" s="103"/>
      <c r="AO60" s="103"/>
      <c r="AP60" s="103">
        <v>17</v>
      </c>
      <c r="AQ60" s="103"/>
      <c r="AR60" s="103">
        <v>10</v>
      </c>
      <c r="AS60" s="103">
        <v>63</v>
      </c>
      <c r="AT60" s="103">
        <v>101</v>
      </c>
      <c r="AU60" s="103"/>
      <c r="AV60" s="103"/>
      <c r="AW60" s="104" t="str">
        <f>HYPERLINK("http://www.openstreetmap.org/?mlat=34.3715&amp;mlon=41.9698&amp;zoom=12#map=12/34.3715/41.9698","Maplink1")</f>
        <v>Maplink1</v>
      </c>
      <c r="AX60" s="104" t="str">
        <f>HYPERLINK("https://www.google.iq/maps/search/+34.3715,41.9698/@34.3715,41.9698,14z?hl=en","Maplink2")</f>
        <v>Maplink2</v>
      </c>
      <c r="AY60" s="104" t="str">
        <f>HYPERLINK("http://www.bing.com/maps/?lvl=14&amp;sty=h&amp;cp=34.3715~41.9698&amp;sp=point.34.3715_41.9698","Maplink3")</f>
        <v>Maplink3</v>
      </c>
    </row>
    <row r="61" spans="1:51" x14ac:dyDescent="0.2">
      <c r="A61" s="102">
        <v>246</v>
      </c>
      <c r="B61" s="103" t="s">
        <v>29</v>
      </c>
      <c r="C61" s="103" t="s">
        <v>79</v>
      </c>
      <c r="D61" s="103" t="s">
        <v>249</v>
      </c>
      <c r="E61" s="103" t="s">
        <v>250</v>
      </c>
      <c r="F61" s="103">
        <v>34.224687124699997</v>
      </c>
      <c r="G61" s="103">
        <v>42.144637877000001</v>
      </c>
      <c r="H61" s="102">
        <v>117</v>
      </c>
      <c r="I61" s="102">
        <v>702</v>
      </c>
      <c r="J61" s="103"/>
      <c r="K61" s="103"/>
      <c r="L61" s="103"/>
      <c r="M61" s="103">
        <v>117</v>
      </c>
      <c r="N61" s="103"/>
      <c r="O61" s="103"/>
      <c r="P61" s="103"/>
      <c r="Q61" s="103"/>
      <c r="R61" s="103"/>
      <c r="S61" s="103"/>
      <c r="T61" s="103"/>
      <c r="U61" s="103">
        <v>73</v>
      </c>
      <c r="V61" s="103"/>
      <c r="W61" s="103">
        <v>26</v>
      </c>
      <c r="X61" s="103"/>
      <c r="Y61" s="103"/>
      <c r="Z61" s="103"/>
      <c r="AA61" s="103">
        <v>18</v>
      </c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>
        <v>17</v>
      </c>
      <c r="AS61" s="103">
        <v>21</v>
      </c>
      <c r="AT61" s="103">
        <v>79</v>
      </c>
      <c r="AU61" s="103"/>
      <c r="AV61" s="103"/>
      <c r="AW61" s="104" t="str">
        <f>HYPERLINK("http://www.openstreetmap.org/?mlat=34.2247&amp;mlon=42.1446&amp;zoom=12#map=12/34.2247/42.1446","Maplink1")</f>
        <v>Maplink1</v>
      </c>
      <c r="AX61" s="104" t="str">
        <f>HYPERLINK("https://www.google.iq/maps/search/+34.2247,42.1446/@34.2247,42.1446,14z?hl=en","Maplink2")</f>
        <v>Maplink2</v>
      </c>
      <c r="AY61" s="104" t="str">
        <f>HYPERLINK("http://www.bing.com/maps/?lvl=14&amp;sty=h&amp;cp=34.2247~42.1446&amp;sp=point.34.2247_42.1446","Maplink3")</f>
        <v>Maplink3</v>
      </c>
    </row>
    <row r="62" spans="1:51" x14ac:dyDescent="0.2">
      <c r="A62" s="102">
        <v>23937</v>
      </c>
      <c r="B62" s="103" t="s">
        <v>29</v>
      </c>
      <c r="C62" s="103" t="s">
        <v>79</v>
      </c>
      <c r="D62" s="103" t="s">
        <v>257</v>
      </c>
      <c r="E62" s="103" t="s">
        <v>258</v>
      </c>
      <c r="F62" s="103">
        <v>34.465739135600003</v>
      </c>
      <c r="G62" s="103">
        <v>41.739834944199998</v>
      </c>
      <c r="H62" s="102">
        <v>124</v>
      </c>
      <c r="I62" s="102">
        <v>744</v>
      </c>
      <c r="J62" s="103"/>
      <c r="K62" s="103"/>
      <c r="L62" s="103"/>
      <c r="M62" s="103">
        <v>124</v>
      </c>
      <c r="N62" s="103"/>
      <c r="O62" s="103"/>
      <c r="P62" s="103"/>
      <c r="Q62" s="103"/>
      <c r="R62" s="103"/>
      <c r="S62" s="103"/>
      <c r="T62" s="103"/>
      <c r="U62" s="103">
        <v>6</v>
      </c>
      <c r="V62" s="103"/>
      <c r="W62" s="103">
        <v>18</v>
      </c>
      <c r="X62" s="103"/>
      <c r="Y62" s="103"/>
      <c r="Z62" s="103"/>
      <c r="AA62" s="103">
        <v>100</v>
      </c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>
        <v>37</v>
      </c>
      <c r="AS62" s="103">
        <v>38</v>
      </c>
      <c r="AT62" s="103">
        <v>49</v>
      </c>
      <c r="AU62" s="103"/>
      <c r="AV62" s="103"/>
      <c r="AW62" s="104" t="str">
        <f>HYPERLINK("http://www.openstreetmap.org/?mlat=34.4657&amp;mlon=41.7398&amp;zoom=12#map=12/34.4657/41.7398","Maplink1")</f>
        <v>Maplink1</v>
      </c>
      <c r="AX62" s="104" t="str">
        <f>HYPERLINK("https://www.google.iq/maps/search/+34.4657,41.7398/@34.4657,41.7398,14z?hl=en","Maplink2")</f>
        <v>Maplink2</v>
      </c>
      <c r="AY62" s="104" t="str">
        <f>HYPERLINK("http://www.bing.com/maps/?lvl=14&amp;sty=h&amp;cp=34.4657~41.7398&amp;sp=point.34.4657_41.7398","Maplink3")</f>
        <v>Maplink3</v>
      </c>
    </row>
    <row r="63" spans="1:51" x14ac:dyDescent="0.2">
      <c r="A63" s="102">
        <v>23799</v>
      </c>
      <c r="B63" s="103" t="s">
        <v>29</v>
      </c>
      <c r="C63" s="103" t="s">
        <v>79</v>
      </c>
      <c r="D63" s="103" t="s">
        <v>255</v>
      </c>
      <c r="E63" s="103" t="s">
        <v>256</v>
      </c>
      <c r="F63" s="103">
        <v>34.373153198300002</v>
      </c>
      <c r="G63" s="103">
        <v>41.995168824099999</v>
      </c>
      <c r="H63" s="102">
        <v>166</v>
      </c>
      <c r="I63" s="102">
        <v>996</v>
      </c>
      <c r="J63" s="103"/>
      <c r="K63" s="103"/>
      <c r="L63" s="103">
        <v>32</v>
      </c>
      <c r="M63" s="103">
        <v>134</v>
      </c>
      <c r="N63" s="103"/>
      <c r="O63" s="103"/>
      <c r="P63" s="103"/>
      <c r="Q63" s="103"/>
      <c r="R63" s="103"/>
      <c r="S63" s="103"/>
      <c r="T63" s="103"/>
      <c r="U63" s="103">
        <v>98</v>
      </c>
      <c r="V63" s="103"/>
      <c r="W63" s="103">
        <v>27</v>
      </c>
      <c r="X63" s="103"/>
      <c r="Y63" s="103"/>
      <c r="Z63" s="103"/>
      <c r="AA63" s="103">
        <v>19</v>
      </c>
      <c r="AB63" s="103"/>
      <c r="AC63" s="103"/>
      <c r="AD63" s="103"/>
      <c r="AE63" s="103"/>
      <c r="AF63" s="103"/>
      <c r="AG63" s="103"/>
      <c r="AH63" s="103"/>
      <c r="AI63" s="103"/>
      <c r="AJ63" s="103">
        <v>22</v>
      </c>
      <c r="AK63" s="103"/>
      <c r="AL63" s="103"/>
      <c r="AM63" s="103"/>
      <c r="AN63" s="103"/>
      <c r="AO63" s="103"/>
      <c r="AP63" s="103"/>
      <c r="AQ63" s="103"/>
      <c r="AR63" s="103">
        <v>19</v>
      </c>
      <c r="AS63" s="103">
        <v>51</v>
      </c>
      <c r="AT63" s="103">
        <v>96</v>
      </c>
      <c r="AU63" s="103"/>
      <c r="AV63" s="103"/>
      <c r="AW63" s="104" t="str">
        <f>HYPERLINK("http://www.openstreetmap.org/?mlat=34.3732&amp;mlon=41.9952&amp;zoom=12#map=12/34.3732/41.9952","Maplink1")</f>
        <v>Maplink1</v>
      </c>
      <c r="AX63" s="104" t="str">
        <f>HYPERLINK("https://www.google.iq/maps/search/+34.3732,41.9952/@34.3732,41.9952,14z?hl=en","Maplink2")</f>
        <v>Maplink2</v>
      </c>
      <c r="AY63" s="104" t="str">
        <f>HYPERLINK("http://www.bing.com/maps/?lvl=14&amp;sty=h&amp;cp=34.3732~41.9952&amp;sp=point.34.3732_41.9952","Maplink3")</f>
        <v>Maplink3</v>
      </c>
    </row>
    <row r="64" spans="1:51" x14ac:dyDescent="0.2">
      <c r="A64" s="102">
        <v>248</v>
      </c>
      <c r="B64" s="103" t="s">
        <v>29</v>
      </c>
      <c r="C64" s="103" t="s">
        <v>79</v>
      </c>
      <c r="D64" s="103" t="s">
        <v>260</v>
      </c>
      <c r="E64" s="103" t="s">
        <v>261</v>
      </c>
      <c r="F64" s="103">
        <v>34.366788054700002</v>
      </c>
      <c r="G64" s="103">
        <v>41.970783142899997</v>
      </c>
      <c r="H64" s="102">
        <v>184</v>
      </c>
      <c r="I64" s="102">
        <v>1104</v>
      </c>
      <c r="J64" s="103"/>
      <c r="K64" s="103"/>
      <c r="L64" s="103"/>
      <c r="M64" s="103">
        <v>184</v>
      </c>
      <c r="N64" s="103"/>
      <c r="O64" s="103"/>
      <c r="P64" s="103"/>
      <c r="Q64" s="103"/>
      <c r="R64" s="103"/>
      <c r="S64" s="103"/>
      <c r="T64" s="103"/>
      <c r="U64" s="103">
        <v>43</v>
      </c>
      <c r="V64" s="103"/>
      <c r="W64" s="103">
        <v>44</v>
      </c>
      <c r="X64" s="103"/>
      <c r="Y64" s="103"/>
      <c r="Z64" s="103"/>
      <c r="AA64" s="103">
        <v>53</v>
      </c>
      <c r="AB64" s="103"/>
      <c r="AC64" s="103">
        <v>10</v>
      </c>
      <c r="AD64" s="103"/>
      <c r="AE64" s="103"/>
      <c r="AF64" s="103"/>
      <c r="AG64" s="103"/>
      <c r="AH64" s="103"/>
      <c r="AI64" s="103"/>
      <c r="AJ64" s="103">
        <v>34</v>
      </c>
      <c r="AK64" s="103"/>
      <c r="AL64" s="103"/>
      <c r="AM64" s="103"/>
      <c r="AN64" s="103"/>
      <c r="AO64" s="103"/>
      <c r="AP64" s="103">
        <v>10</v>
      </c>
      <c r="AQ64" s="103"/>
      <c r="AR64" s="103">
        <v>59</v>
      </c>
      <c r="AS64" s="103">
        <v>51</v>
      </c>
      <c r="AT64" s="103">
        <v>64</v>
      </c>
      <c r="AU64" s="103"/>
      <c r="AV64" s="103"/>
      <c r="AW64" s="104" t="str">
        <f>HYPERLINK("http://www.openstreetmap.org/?mlat=34.3668&amp;mlon=41.9708&amp;zoom=12#map=12/34.3668/41.9708","Maplink1")</f>
        <v>Maplink1</v>
      </c>
      <c r="AX64" s="104" t="str">
        <f>HYPERLINK("https://www.google.iq/maps/search/+34.3668,41.9708/@34.3668,41.9708,14z?hl=en","Maplink2")</f>
        <v>Maplink2</v>
      </c>
      <c r="AY64" s="104" t="str">
        <f>HYPERLINK("http://www.bing.com/maps/?lvl=14&amp;sty=h&amp;cp=34.3668~41.9708&amp;sp=point.34.3668_41.9708","Maplink3")</f>
        <v>Maplink3</v>
      </c>
    </row>
    <row r="65" spans="1:51" x14ac:dyDescent="0.2">
      <c r="A65" s="102">
        <v>249</v>
      </c>
      <c r="B65" s="103" t="s">
        <v>29</v>
      </c>
      <c r="C65" s="103" t="s">
        <v>79</v>
      </c>
      <c r="D65" s="103" t="s">
        <v>251</v>
      </c>
      <c r="E65" s="103" t="s">
        <v>252</v>
      </c>
      <c r="F65" s="103">
        <v>34.368378021700003</v>
      </c>
      <c r="G65" s="103">
        <v>41.995627297299997</v>
      </c>
      <c r="H65" s="102">
        <v>246</v>
      </c>
      <c r="I65" s="102">
        <v>1476</v>
      </c>
      <c r="J65" s="103"/>
      <c r="K65" s="103"/>
      <c r="L65" s="103"/>
      <c r="M65" s="103">
        <v>246</v>
      </c>
      <c r="N65" s="103"/>
      <c r="O65" s="103"/>
      <c r="P65" s="103"/>
      <c r="Q65" s="103"/>
      <c r="R65" s="103"/>
      <c r="S65" s="103"/>
      <c r="T65" s="103"/>
      <c r="U65" s="103">
        <v>181</v>
      </c>
      <c r="V65" s="103"/>
      <c r="W65" s="103">
        <v>21</v>
      </c>
      <c r="X65" s="103"/>
      <c r="Y65" s="103"/>
      <c r="Z65" s="103"/>
      <c r="AA65" s="103">
        <v>19</v>
      </c>
      <c r="AB65" s="103"/>
      <c r="AC65" s="103"/>
      <c r="AD65" s="103"/>
      <c r="AE65" s="103"/>
      <c r="AF65" s="103"/>
      <c r="AG65" s="103"/>
      <c r="AH65" s="103"/>
      <c r="AI65" s="103"/>
      <c r="AJ65" s="103">
        <v>25</v>
      </c>
      <c r="AK65" s="103"/>
      <c r="AL65" s="103"/>
      <c r="AM65" s="103"/>
      <c r="AN65" s="103"/>
      <c r="AO65" s="103"/>
      <c r="AP65" s="103"/>
      <c r="AQ65" s="103"/>
      <c r="AR65" s="103">
        <v>38</v>
      </c>
      <c r="AS65" s="103">
        <v>124</v>
      </c>
      <c r="AT65" s="103">
        <v>84</v>
      </c>
      <c r="AU65" s="103"/>
      <c r="AV65" s="103"/>
      <c r="AW65" s="104" t="str">
        <f>HYPERLINK("http://www.openstreetmap.org/?mlat=34.3684&amp;mlon=41.9956&amp;zoom=12#map=12/34.3684/41.9956","Maplink1")</f>
        <v>Maplink1</v>
      </c>
      <c r="AX65" s="104" t="str">
        <f>HYPERLINK("https://www.google.iq/maps/search/+34.3684,41.9956/@34.3684,41.9956,14z?hl=en","Maplink2")</f>
        <v>Maplink2</v>
      </c>
      <c r="AY65" s="104" t="str">
        <f>HYPERLINK("http://www.bing.com/maps/?lvl=14&amp;sty=h&amp;cp=34.3684~41.9956&amp;sp=point.34.3684_41.9956","Maplink3")</f>
        <v>Maplink3</v>
      </c>
    </row>
    <row r="66" spans="1:51" x14ac:dyDescent="0.2">
      <c r="A66" s="102">
        <v>256</v>
      </c>
      <c r="B66" s="103" t="s">
        <v>29</v>
      </c>
      <c r="C66" s="103" t="s">
        <v>79</v>
      </c>
      <c r="D66" s="103" t="s">
        <v>262</v>
      </c>
      <c r="E66" s="103" t="s">
        <v>263</v>
      </c>
      <c r="F66" s="103">
        <v>34.489908999999997</v>
      </c>
      <c r="G66" s="103">
        <v>41.786836999999998</v>
      </c>
      <c r="H66" s="102">
        <v>55</v>
      </c>
      <c r="I66" s="102">
        <v>330</v>
      </c>
      <c r="J66" s="103"/>
      <c r="K66" s="103"/>
      <c r="L66" s="103"/>
      <c r="M66" s="103">
        <v>55</v>
      </c>
      <c r="N66" s="103"/>
      <c r="O66" s="103"/>
      <c r="P66" s="103"/>
      <c r="Q66" s="103"/>
      <c r="R66" s="103"/>
      <c r="S66" s="103"/>
      <c r="T66" s="103"/>
      <c r="U66" s="103">
        <v>53</v>
      </c>
      <c r="V66" s="103"/>
      <c r="W66" s="103"/>
      <c r="X66" s="103"/>
      <c r="Y66" s="103"/>
      <c r="Z66" s="103"/>
      <c r="AA66" s="103">
        <v>2</v>
      </c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>
        <v>17</v>
      </c>
      <c r="AT66" s="103">
        <v>38</v>
      </c>
      <c r="AU66" s="103"/>
      <c r="AV66" s="103"/>
      <c r="AW66" s="104" t="str">
        <f>HYPERLINK("http://www.openstreetmap.org/?mlat=34.4899&amp;mlon=41.7868&amp;zoom=12#map=12/34.4899/41.7868","Maplink1")</f>
        <v>Maplink1</v>
      </c>
      <c r="AX66" s="104" t="str">
        <f>HYPERLINK("https://www.google.iq/maps/search/+34.4899,41.7868/@34.4899,41.7868,14z?hl=en","Maplink2")</f>
        <v>Maplink2</v>
      </c>
      <c r="AY66" s="104" t="str">
        <f>HYPERLINK("http://www.bing.com/maps/?lvl=14&amp;sty=h&amp;cp=34.4899~41.7868&amp;sp=point.34.4899_41.7868","Maplink3")</f>
        <v>Maplink3</v>
      </c>
    </row>
    <row r="67" spans="1:51" x14ac:dyDescent="0.2">
      <c r="A67" s="102">
        <v>251</v>
      </c>
      <c r="B67" s="103" t="s">
        <v>29</v>
      </c>
      <c r="C67" s="103" t="s">
        <v>79</v>
      </c>
      <c r="D67" s="103" t="s">
        <v>265</v>
      </c>
      <c r="E67" s="103" t="s">
        <v>266</v>
      </c>
      <c r="F67" s="103">
        <v>34.377490889800001</v>
      </c>
      <c r="G67" s="103">
        <v>41.983222622</v>
      </c>
      <c r="H67" s="102">
        <v>207</v>
      </c>
      <c r="I67" s="102">
        <v>1242</v>
      </c>
      <c r="J67" s="103"/>
      <c r="K67" s="103"/>
      <c r="L67" s="103">
        <v>9</v>
      </c>
      <c r="M67" s="103">
        <v>198</v>
      </c>
      <c r="N67" s="103"/>
      <c r="O67" s="103"/>
      <c r="P67" s="103"/>
      <c r="Q67" s="103"/>
      <c r="R67" s="103"/>
      <c r="S67" s="103"/>
      <c r="T67" s="103"/>
      <c r="U67" s="103">
        <v>108</v>
      </c>
      <c r="V67" s="103"/>
      <c r="W67" s="103">
        <v>35</v>
      </c>
      <c r="X67" s="103"/>
      <c r="Y67" s="103"/>
      <c r="Z67" s="103"/>
      <c r="AA67" s="103">
        <v>41</v>
      </c>
      <c r="AB67" s="103"/>
      <c r="AC67" s="103">
        <v>14</v>
      </c>
      <c r="AD67" s="103"/>
      <c r="AE67" s="103"/>
      <c r="AF67" s="103"/>
      <c r="AG67" s="103"/>
      <c r="AH67" s="103"/>
      <c r="AI67" s="103"/>
      <c r="AJ67" s="103">
        <v>9</v>
      </c>
      <c r="AK67" s="103"/>
      <c r="AL67" s="103"/>
      <c r="AM67" s="103"/>
      <c r="AN67" s="103"/>
      <c r="AO67" s="103"/>
      <c r="AP67" s="103"/>
      <c r="AQ67" s="103"/>
      <c r="AR67" s="103">
        <v>28</v>
      </c>
      <c r="AS67" s="103">
        <v>36</v>
      </c>
      <c r="AT67" s="103">
        <v>143</v>
      </c>
      <c r="AU67" s="103"/>
      <c r="AV67" s="103"/>
      <c r="AW67" s="104" t="str">
        <f>HYPERLINK("http://www.openstreetmap.org/?mlat=34.3775&amp;mlon=41.9832&amp;zoom=12#map=12/34.3775/41.9832","Maplink1")</f>
        <v>Maplink1</v>
      </c>
      <c r="AX67" s="104" t="str">
        <f>HYPERLINK("https://www.google.iq/maps/search/+34.3775,41.9832/@34.3775,41.9832,14z?hl=en","Maplink2")</f>
        <v>Maplink2</v>
      </c>
      <c r="AY67" s="104" t="str">
        <f>HYPERLINK("http://www.bing.com/maps/?lvl=14&amp;sty=h&amp;cp=34.3775~41.9832&amp;sp=point.34.3775_41.9832","Maplink3")</f>
        <v>Maplink3</v>
      </c>
    </row>
    <row r="68" spans="1:51" x14ac:dyDescent="0.2">
      <c r="A68" s="102">
        <v>252</v>
      </c>
      <c r="B68" s="103" t="s">
        <v>29</v>
      </c>
      <c r="C68" s="103" t="s">
        <v>79</v>
      </c>
      <c r="D68" s="103" t="s">
        <v>269</v>
      </c>
      <c r="E68" s="103" t="s">
        <v>270</v>
      </c>
      <c r="F68" s="103">
        <v>34.364280129100003</v>
      </c>
      <c r="G68" s="103">
        <v>41.984027865199998</v>
      </c>
      <c r="H68" s="102">
        <v>243</v>
      </c>
      <c r="I68" s="102">
        <v>1458</v>
      </c>
      <c r="J68" s="103"/>
      <c r="K68" s="103"/>
      <c r="L68" s="103"/>
      <c r="M68" s="103">
        <v>243</v>
      </c>
      <c r="N68" s="103"/>
      <c r="O68" s="103"/>
      <c r="P68" s="103"/>
      <c r="Q68" s="103"/>
      <c r="R68" s="103"/>
      <c r="S68" s="103"/>
      <c r="T68" s="103"/>
      <c r="U68" s="103">
        <v>119</v>
      </c>
      <c r="V68" s="103"/>
      <c r="W68" s="103">
        <v>21</v>
      </c>
      <c r="X68" s="103"/>
      <c r="Y68" s="103"/>
      <c r="Z68" s="103"/>
      <c r="AA68" s="103">
        <v>86</v>
      </c>
      <c r="AB68" s="103"/>
      <c r="AC68" s="103"/>
      <c r="AD68" s="103"/>
      <c r="AE68" s="103"/>
      <c r="AF68" s="103"/>
      <c r="AG68" s="103"/>
      <c r="AH68" s="103"/>
      <c r="AI68" s="103"/>
      <c r="AJ68" s="103">
        <v>17</v>
      </c>
      <c r="AK68" s="103"/>
      <c r="AL68" s="103"/>
      <c r="AM68" s="103"/>
      <c r="AN68" s="103"/>
      <c r="AO68" s="103"/>
      <c r="AP68" s="103"/>
      <c r="AQ68" s="103"/>
      <c r="AR68" s="103">
        <v>61</v>
      </c>
      <c r="AS68" s="103">
        <v>58</v>
      </c>
      <c r="AT68" s="103">
        <v>124</v>
      </c>
      <c r="AU68" s="103"/>
      <c r="AV68" s="103"/>
      <c r="AW68" s="104" t="str">
        <f>HYPERLINK("http://www.openstreetmap.org/?mlat=34.3643&amp;mlon=41.984&amp;zoom=12#map=12/34.3643/41.984","Maplink1")</f>
        <v>Maplink1</v>
      </c>
      <c r="AX68" s="104" t="str">
        <f>HYPERLINK("https://www.google.iq/maps/search/+34.3643,41.984/@34.3643,41.984,14z?hl=en","Maplink2")</f>
        <v>Maplink2</v>
      </c>
      <c r="AY68" s="104" t="str">
        <f>HYPERLINK("http://www.bing.com/maps/?lvl=14&amp;sty=h&amp;cp=34.3643~41.984&amp;sp=point.34.3643_41.984","Maplink3")</f>
        <v>Maplink3</v>
      </c>
    </row>
    <row r="69" spans="1:51" x14ac:dyDescent="0.2">
      <c r="A69" s="102">
        <v>142</v>
      </c>
      <c r="B69" s="103" t="s">
        <v>29</v>
      </c>
      <c r="C69" s="103" t="s">
        <v>80</v>
      </c>
      <c r="D69" s="103" t="s">
        <v>281</v>
      </c>
      <c r="E69" s="103" t="s">
        <v>282</v>
      </c>
      <c r="F69" s="103">
        <v>33.391879750400001</v>
      </c>
      <c r="G69" s="103">
        <v>43.856734307499998</v>
      </c>
      <c r="H69" s="102">
        <v>2106</v>
      </c>
      <c r="I69" s="102">
        <v>12636</v>
      </c>
      <c r="J69" s="103"/>
      <c r="K69" s="103"/>
      <c r="L69" s="103">
        <v>80</v>
      </c>
      <c r="M69" s="103">
        <v>1908</v>
      </c>
      <c r="N69" s="103"/>
      <c r="O69" s="103"/>
      <c r="P69" s="103"/>
      <c r="Q69" s="103"/>
      <c r="R69" s="103"/>
      <c r="S69" s="103">
        <v>118</v>
      </c>
      <c r="T69" s="103"/>
      <c r="U69" s="103">
        <v>1675</v>
      </c>
      <c r="V69" s="103"/>
      <c r="W69" s="103">
        <v>359</v>
      </c>
      <c r="X69" s="103"/>
      <c r="Y69" s="103"/>
      <c r="Z69" s="103"/>
      <c r="AA69" s="103">
        <v>72</v>
      </c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>
        <v>202</v>
      </c>
      <c r="AN69" s="103">
        <v>235</v>
      </c>
      <c r="AO69" s="103"/>
      <c r="AP69" s="103">
        <v>72</v>
      </c>
      <c r="AQ69" s="103">
        <v>1597</v>
      </c>
      <c r="AR69" s="103"/>
      <c r="AS69" s="103"/>
      <c r="AT69" s="103"/>
      <c r="AU69" s="103"/>
      <c r="AV69" s="103"/>
      <c r="AW69" s="104" t="str">
        <f>HYPERLINK("http://www.openstreetmap.org/?mlat=33.3919&amp;mlon=43.8567&amp;zoom=12#map=12/33.3919/43.8567","Maplink1")</f>
        <v>Maplink1</v>
      </c>
      <c r="AX69" s="104" t="str">
        <f>HYPERLINK("https://www.google.iq/maps/search/+33.3919,43.8567/@33.3919,43.8567,14z?hl=en","Maplink2")</f>
        <v>Maplink2</v>
      </c>
      <c r="AY69" s="104" t="str">
        <f>HYPERLINK("http://www.bing.com/maps/?lvl=14&amp;sty=h&amp;cp=33.3919~43.8567&amp;sp=point.33.3919_43.8567","Maplink3")</f>
        <v>Maplink3</v>
      </c>
    </row>
    <row r="70" spans="1:51" x14ac:dyDescent="0.2">
      <c r="A70" s="102">
        <v>24766</v>
      </c>
      <c r="B70" s="103" t="s">
        <v>29</v>
      </c>
      <c r="C70" s="103" t="s">
        <v>80</v>
      </c>
      <c r="D70" s="103" t="s">
        <v>293</v>
      </c>
      <c r="E70" s="103" t="s">
        <v>294</v>
      </c>
      <c r="F70" s="103">
        <v>33.409962323499997</v>
      </c>
      <c r="G70" s="103">
        <v>43.9152399078</v>
      </c>
      <c r="H70" s="102">
        <v>370</v>
      </c>
      <c r="I70" s="102">
        <v>2220</v>
      </c>
      <c r="J70" s="103"/>
      <c r="K70" s="103"/>
      <c r="L70" s="103"/>
      <c r="M70" s="103">
        <v>370</v>
      </c>
      <c r="N70" s="103"/>
      <c r="O70" s="103"/>
      <c r="P70" s="103"/>
      <c r="Q70" s="103"/>
      <c r="R70" s="103"/>
      <c r="S70" s="103"/>
      <c r="T70" s="103"/>
      <c r="U70" s="103">
        <v>89</v>
      </c>
      <c r="V70" s="103"/>
      <c r="W70" s="103"/>
      <c r="X70" s="103"/>
      <c r="Y70" s="103"/>
      <c r="Z70" s="103"/>
      <c r="AA70" s="103">
        <v>111</v>
      </c>
      <c r="AB70" s="103"/>
      <c r="AC70" s="103">
        <v>170</v>
      </c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>
        <v>170</v>
      </c>
      <c r="AO70" s="103"/>
      <c r="AP70" s="103">
        <v>111</v>
      </c>
      <c r="AQ70" s="103">
        <v>49</v>
      </c>
      <c r="AR70" s="103">
        <v>40</v>
      </c>
      <c r="AS70" s="103"/>
      <c r="AT70" s="103"/>
      <c r="AU70" s="103"/>
      <c r="AV70" s="103"/>
      <c r="AW70" s="104" t="str">
        <f>HYPERLINK("http://www.openstreetmap.org/?mlat=33.41&amp;mlon=43.9152&amp;zoom=12#map=12/33.41/43.9152","Maplink1")</f>
        <v>Maplink1</v>
      </c>
      <c r="AX70" s="104" t="str">
        <f>HYPERLINK("https://www.google.iq/maps/search/+33.41,43.9152/@33.41,43.9152,14z?hl=en","Maplink2")</f>
        <v>Maplink2</v>
      </c>
      <c r="AY70" s="104" t="str">
        <f>HYPERLINK("http://www.bing.com/maps/?lvl=14&amp;sty=h&amp;cp=33.41~43.9152&amp;sp=point.33.41_43.9152","Maplink3")</f>
        <v>Maplink3</v>
      </c>
    </row>
    <row r="71" spans="1:51" x14ac:dyDescent="0.2">
      <c r="A71" s="102">
        <v>20781</v>
      </c>
      <c r="B71" s="103" t="s">
        <v>29</v>
      </c>
      <c r="C71" s="103" t="s">
        <v>80</v>
      </c>
      <c r="D71" s="103" t="s">
        <v>299</v>
      </c>
      <c r="E71" s="103" t="s">
        <v>300</v>
      </c>
      <c r="F71" s="103">
        <v>33.435421893399997</v>
      </c>
      <c r="G71" s="103">
        <v>43.859093999999999</v>
      </c>
      <c r="H71" s="102">
        <v>84</v>
      </c>
      <c r="I71" s="102">
        <v>504</v>
      </c>
      <c r="J71" s="103"/>
      <c r="K71" s="103"/>
      <c r="L71" s="103"/>
      <c r="M71" s="103">
        <v>84</v>
      </c>
      <c r="N71" s="103"/>
      <c r="O71" s="103"/>
      <c r="P71" s="103"/>
      <c r="Q71" s="103"/>
      <c r="R71" s="103"/>
      <c r="S71" s="103"/>
      <c r="T71" s="103"/>
      <c r="U71" s="103">
        <v>83</v>
      </c>
      <c r="V71" s="103"/>
      <c r="W71" s="103">
        <v>1</v>
      </c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>
        <v>84</v>
      </c>
      <c r="AQ71" s="103"/>
      <c r="AR71" s="103"/>
      <c r="AS71" s="103"/>
      <c r="AT71" s="103"/>
      <c r="AU71" s="103"/>
      <c r="AV71" s="103"/>
      <c r="AW71" s="104" t="str">
        <f>HYPERLINK("http://www.openstreetmap.org/?mlat=33.4354&amp;mlon=43.8591&amp;zoom=12#map=12/33.4354/43.8591","Maplink1")</f>
        <v>Maplink1</v>
      </c>
      <c r="AX71" s="104" t="str">
        <f>HYPERLINK("https://www.google.iq/maps/search/+33.4354,43.8591/@33.4354,43.8591,14z?hl=en","Maplink2")</f>
        <v>Maplink2</v>
      </c>
      <c r="AY71" s="104" t="str">
        <f>HYPERLINK("http://www.bing.com/maps/?lvl=14&amp;sty=h&amp;cp=33.4354~43.8591&amp;sp=point.33.4354_43.8591","Maplink3")</f>
        <v>Maplink3</v>
      </c>
    </row>
    <row r="72" spans="1:51" x14ac:dyDescent="0.2">
      <c r="A72" s="102">
        <v>179</v>
      </c>
      <c r="B72" s="103" t="s">
        <v>29</v>
      </c>
      <c r="C72" s="103" t="s">
        <v>80</v>
      </c>
      <c r="D72" s="103" t="s">
        <v>301</v>
      </c>
      <c r="E72" s="103" t="s">
        <v>302</v>
      </c>
      <c r="F72" s="103">
        <v>33.2667667829</v>
      </c>
      <c r="G72" s="103">
        <v>43.807100116599997</v>
      </c>
      <c r="H72" s="102">
        <v>2106</v>
      </c>
      <c r="I72" s="102">
        <v>12636</v>
      </c>
      <c r="J72" s="103"/>
      <c r="K72" s="103"/>
      <c r="L72" s="103"/>
      <c r="M72" s="103">
        <v>2084</v>
      </c>
      <c r="N72" s="103">
        <v>22</v>
      </c>
      <c r="O72" s="103"/>
      <c r="P72" s="103"/>
      <c r="Q72" s="103"/>
      <c r="R72" s="103"/>
      <c r="S72" s="103"/>
      <c r="T72" s="103"/>
      <c r="U72" s="103">
        <v>1345</v>
      </c>
      <c r="V72" s="103"/>
      <c r="W72" s="103">
        <v>423</v>
      </c>
      <c r="X72" s="103"/>
      <c r="Y72" s="103"/>
      <c r="Z72" s="103"/>
      <c r="AA72" s="103">
        <v>168</v>
      </c>
      <c r="AB72" s="103"/>
      <c r="AC72" s="103">
        <v>170</v>
      </c>
      <c r="AD72" s="103"/>
      <c r="AE72" s="103"/>
      <c r="AF72" s="103"/>
      <c r="AG72" s="103"/>
      <c r="AH72" s="103"/>
      <c r="AI72" s="103"/>
      <c r="AJ72" s="103"/>
      <c r="AK72" s="103"/>
      <c r="AL72" s="103"/>
      <c r="AM72" s="103">
        <v>512</v>
      </c>
      <c r="AN72" s="103">
        <v>195</v>
      </c>
      <c r="AO72" s="103"/>
      <c r="AP72" s="103">
        <v>250</v>
      </c>
      <c r="AQ72" s="103">
        <v>461</v>
      </c>
      <c r="AR72" s="103">
        <v>688</v>
      </c>
      <c r="AS72" s="103"/>
      <c r="AT72" s="103"/>
      <c r="AU72" s="103"/>
      <c r="AV72" s="103"/>
      <c r="AW72" s="104" t="str">
        <f>HYPERLINK("http://www.openstreetmap.org/?mlat=33.2668&amp;mlon=43.8071&amp;zoom=12#map=12/33.2668/43.8071","Maplink1")</f>
        <v>Maplink1</v>
      </c>
      <c r="AX72" s="104" t="str">
        <f>HYPERLINK("https://www.google.iq/maps/search/+33.2668,43.8071/@33.2668,43.8071,14z?hl=en","Maplink2")</f>
        <v>Maplink2</v>
      </c>
      <c r="AY72" s="104" t="str">
        <f>HYPERLINK("http://www.bing.com/maps/?lvl=14&amp;sty=h&amp;cp=33.2668~43.8071&amp;sp=point.33.2668_43.8071","Maplink3")</f>
        <v>Maplink3</v>
      </c>
    </row>
    <row r="73" spans="1:51" x14ac:dyDescent="0.2">
      <c r="A73" s="102">
        <v>169</v>
      </c>
      <c r="B73" s="103" t="s">
        <v>29</v>
      </c>
      <c r="C73" s="103" t="s">
        <v>80</v>
      </c>
      <c r="D73" s="103" t="s">
        <v>324</v>
      </c>
      <c r="E73" s="103" t="s">
        <v>325</v>
      </c>
      <c r="F73" s="103">
        <v>33.3638970664</v>
      </c>
      <c r="G73" s="103">
        <v>43.798183094700001</v>
      </c>
      <c r="H73" s="102">
        <v>2936</v>
      </c>
      <c r="I73" s="102">
        <v>17616</v>
      </c>
      <c r="J73" s="103"/>
      <c r="K73" s="103"/>
      <c r="L73" s="103"/>
      <c r="M73" s="103">
        <v>2936</v>
      </c>
      <c r="N73" s="103"/>
      <c r="O73" s="103"/>
      <c r="P73" s="103"/>
      <c r="Q73" s="103"/>
      <c r="R73" s="103"/>
      <c r="S73" s="103"/>
      <c r="T73" s="103"/>
      <c r="U73" s="103">
        <v>1994</v>
      </c>
      <c r="V73" s="103"/>
      <c r="W73" s="103">
        <v>350</v>
      </c>
      <c r="X73" s="103"/>
      <c r="Y73" s="103"/>
      <c r="Z73" s="103"/>
      <c r="AA73" s="103">
        <v>473</v>
      </c>
      <c r="AB73" s="103"/>
      <c r="AC73" s="103">
        <v>118</v>
      </c>
      <c r="AD73" s="103"/>
      <c r="AE73" s="103"/>
      <c r="AF73" s="103"/>
      <c r="AG73" s="103"/>
      <c r="AH73" s="103"/>
      <c r="AI73" s="103"/>
      <c r="AJ73" s="103">
        <v>1</v>
      </c>
      <c r="AK73" s="103"/>
      <c r="AL73" s="103"/>
      <c r="AM73" s="103">
        <v>1535</v>
      </c>
      <c r="AN73" s="103"/>
      <c r="AO73" s="103"/>
      <c r="AP73" s="103">
        <v>68</v>
      </c>
      <c r="AQ73" s="103">
        <v>923</v>
      </c>
      <c r="AR73" s="103">
        <v>410</v>
      </c>
      <c r="AS73" s="103"/>
      <c r="AT73" s="103"/>
      <c r="AU73" s="103"/>
      <c r="AV73" s="103"/>
      <c r="AW73" s="104" t="str">
        <f>HYPERLINK("http://www.openstreetmap.org/?mlat=33.3639&amp;mlon=43.7982&amp;zoom=12#map=12/33.3639/43.7982","Maplink1")</f>
        <v>Maplink1</v>
      </c>
      <c r="AX73" s="104" t="str">
        <f>HYPERLINK("https://www.google.iq/maps/search/+33.3639,43.7982/@33.3639,43.7982,14z?hl=en","Maplink2")</f>
        <v>Maplink2</v>
      </c>
      <c r="AY73" s="104" t="str">
        <f>HYPERLINK("http://www.bing.com/maps/?lvl=14&amp;sty=h&amp;cp=33.3639~43.7982&amp;sp=point.33.3639_43.7982","Maplink3")</f>
        <v>Maplink3</v>
      </c>
    </row>
    <row r="74" spans="1:51" x14ac:dyDescent="0.2">
      <c r="A74" s="102">
        <v>21615</v>
      </c>
      <c r="B74" s="103" t="s">
        <v>29</v>
      </c>
      <c r="C74" s="103" t="s">
        <v>80</v>
      </c>
      <c r="D74" s="103" t="s">
        <v>326</v>
      </c>
      <c r="E74" s="103" t="s">
        <v>327</v>
      </c>
      <c r="F74" s="103">
        <v>33.382574105000003</v>
      </c>
      <c r="G74" s="103">
        <v>43.683986135700003</v>
      </c>
      <c r="H74" s="102">
        <v>1071</v>
      </c>
      <c r="I74" s="102">
        <v>6426</v>
      </c>
      <c r="J74" s="103"/>
      <c r="K74" s="103"/>
      <c r="L74" s="103"/>
      <c r="M74" s="103">
        <v>1029</v>
      </c>
      <c r="N74" s="103">
        <v>42</v>
      </c>
      <c r="O74" s="103"/>
      <c r="P74" s="103"/>
      <c r="Q74" s="103"/>
      <c r="R74" s="103"/>
      <c r="S74" s="103"/>
      <c r="T74" s="103"/>
      <c r="U74" s="103">
        <v>723</v>
      </c>
      <c r="V74" s="103"/>
      <c r="W74" s="103">
        <v>205</v>
      </c>
      <c r="X74" s="103"/>
      <c r="Y74" s="103"/>
      <c r="Z74" s="103"/>
      <c r="AA74" s="103">
        <v>143</v>
      </c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>
        <v>605</v>
      </c>
      <c r="AN74" s="103"/>
      <c r="AO74" s="103"/>
      <c r="AP74" s="103">
        <v>96</v>
      </c>
      <c r="AQ74" s="103">
        <v>252</v>
      </c>
      <c r="AR74" s="103">
        <v>118</v>
      </c>
      <c r="AS74" s="103"/>
      <c r="AT74" s="103"/>
      <c r="AU74" s="103"/>
      <c r="AV74" s="103"/>
      <c r="AW74" s="104" t="str">
        <f>HYPERLINK("http://www.openstreetmap.org/?mlat=33.3826&amp;mlon=43.684&amp;zoom=12#map=12/33.3826/43.684","Maplink1")</f>
        <v>Maplink1</v>
      </c>
      <c r="AX74" s="104" t="str">
        <f>HYPERLINK("https://www.google.iq/maps/search/+33.3826,43.684/@33.3826,43.684,14z?hl=en","Maplink2")</f>
        <v>Maplink2</v>
      </c>
      <c r="AY74" s="104" t="str">
        <f>HYPERLINK("http://www.bing.com/maps/?lvl=14&amp;sty=h&amp;cp=33.3826~43.684&amp;sp=point.33.3826_43.684","Maplink3")</f>
        <v>Maplink3</v>
      </c>
    </row>
    <row r="75" spans="1:51" x14ac:dyDescent="0.2">
      <c r="A75" s="102">
        <v>20899</v>
      </c>
      <c r="B75" s="103" t="s">
        <v>29</v>
      </c>
      <c r="C75" s="103" t="s">
        <v>80</v>
      </c>
      <c r="D75" s="103" t="s">
        <v>328</v>
      </c>
      <c r="E75" s="103" t="s">
        <v>329</v>
      </c>
      <c r="F75" s="103">
        <v>33.346326202199997</v>
      </c>
      <c r="G75" s="103">
        <v>43.6488906015</v>
      </c>
      <c r="H75" s="102">
        <v>2498</v>
      </c>
      <c r="I75" s="102">
        <v>14988</v>
      </c>
      <c r="J75" s="103"/>
      <c r="K75" s="103"/>
      <c r="L75" s="103"/>
      <c r="M75" s="103">
        <v>2498</v>
      </c>
      <c r="N75" s="103"/>
      <c r="O75" s="103"/>
      <c r="P75" s="103"/>
      <c r="Q75" s="103"/>
      <c r="R75" s="103"/>
      <c r="S75" s="103"/>
      <c r="T75" s="103"/>
      <c r="U75" s="103">
        <v>1429</v>
      </c>
      <c r="V75" s="103"/>
      <c r="W75" s="103">
        <v>625</v>
      </c>
      <c r="X75" s="103"/>
      <c r="Y75" s="103"/>
      <c r="Z75" s="103"/>
      <c r="AA75" s="103">
        <v>321</v>
      </c>
      <c r="AB75" s="103"/>
      <c r="AC75" s="103">
        <v>80</v>
      </c>
      <c r="AD75" s="103"/>
      <c r="AE75" s="103"/>
      <c r="AF75" s="103"/>
      <c r="AG75" s="103"/>
      <c r="AH75" s="103"/>
      <c r="AI75" s="103"/>
      <c r="AJ75" s="103">
        <v>43</v>
      </c>
      <c r="AK75" s="103"/>
      <c r="AL75" s="103"/>
      <c r="AM75" s="103">
        <v>828</v>
      </c>
      <c r="AN75" s="103">
        <v>211</v>
      </c>
      <c r="AO75" s="103"/>
      <c r="AP75" s="103">
        <v>137</v>
      </c>
      <c r="AQ75" s="103">
        <v>849</v>
      </c>
      <c r="AR75" s="103">
        <v>473</v>
      </c>
      <c r="AS75" s="103"/>
      <c r="AT75" s="103"/>
      <c r="AU75" s="103"/>
      <c r="AV75" s="103"/>
      <c r="AW75" s="104" t="str">
        <f>HYPERLINK("http://www.openstreetmap.org/?mlat=33.3463&amp;mlon=43.6489&amp;zoom=12#map=12/33.3463/43.6489","Maplink1")</f>
        <v>Maplink1</v>
      </c>
      <c r="AX75" s="104" t="str">
        <f>HYPERLINK("https://www.google.iq/maps/search/+33.3463,43.6489/@33.3463,43.6489,14z?hl=en","Maplink2")</f>
        <v>Maplink2</v>
      </c>
      <c r="AY75" s="104" t="str">
        <f>HYPERLINK("http://www.bing.com/maps/?lvl=14&amp;sty=h&amp;cp=33.3463~43.6489&amp;sp=point.33.3463_43.6489","Maplink3")</f>
        <v>Maplink3</v>
      </c>
    </row>
    <row r="76" spans="1:51" x14ac:dyDescent="0.2">
      <c r="A76" s="102">
        <v>126</v>
      </c>
      <c r="B76" s="103" t="s">
        <v>29</v>
      </c>
      <c r="C76" s="103" t="s">
        <v>80</v>
      </c>
      <c r="D76" s="103" t="s">
        <v>330</v>
      </c>
      <c r="E76" s="103" t="s">
        <v>331</v>
      </c>
      <c r="F76" s="103">
        <v>33.366405494600002</v>
      </c>
      <c r="G76" s="103">
        <v>43.771432271800002</v>
      </c>
      <c r="H76" s="102">
        <v>2112</v>
      </c>
      <c r="I76" s="102">
        <v>12672</v>
      </c>
      <c r="J76" s="103"/>
      <c r="K76" s="103"/>
      <c r="L76" s="103"/>
      <c r="M76" s="103">
        <v>2112</v>
      </c>
      <c r="N76" s="103"/>
      <c r="O76" s="103"/>
      <c r="P76" s="103"/>
      <c r="Q76" s="103"/>
      <c r="R76" s="103"/>
      <c r="S76" s="103"/>
      <c r="T76" s="103"/>
      <c r="U76" s="103">
        <v>1251</v>
      </c>
      <c r="V76" s="103"/>
      <c r="W76" s="103">
        <v>265</v>
      </c>
      <c r="X76" s="103"/>
      <c r="Y76" s="103"/>
      <c r="Z76" s="103"/>
      <c r="AA76" s="103">
        <v>290</v>
      </c>
      <c r="AB76" s="103"/>
      <c r="AC76" s="103">
        <v>111</v>
      </c>
      <c r="AD76" s="103"/>
      <c r="AE76" s="103"/>
      <c r="AF76" s="103"/>
      <c r="AG76" s="103"/>
      <c r="AH76" s="103"/>
      <c r="AI76" s="103"/>
      <c r="AJ76" s="103">
        <v>195</v>
      </c>
      <c r="AK76" s="103"/>
      <c r="AL76" s="103"/>
      <c r="AM76" s="103">
        <v>931</v>
      </c>
      <c r="AN76" s="103"/>
      <c r="AO76" s="103"/>
      <c r="AP76" s="103">
        <v>260</v>
      </c>
      <c r="AQ76" s="103">
        <v>812</v>
      </c>
      <c r="AR76" s="103">
        <v>109</v>
      </c>
      <c r="AS76" s="103"/>
      <c r="AT76" s="103"/>
      <c r="AU76" s="103"/>
      <c r="AV76" s="103"/>
      <c r="AW76" s="104" t="str">
        <f>HYPERLINK("http://www.openstreetmap.org/?mlat=33.3664&amp;mlon=43.7714&amp;zoom=12#map=12/33.3664/43.7714","Maplink1")</f>
        <v>Maplink1</v>
      </c>
      <c r="AX76" s="104" t="str">
        <f>HYPERLINK("https://www.google.iq/maps/search/+33.3664,43.7714/@33.3664,43.7714,14z?hl=en","Maplink2")</f>
        <v>Maplink2</v>
      </c>
      <c r="AY76" s="104" t="str">
        <f>HYPERLINK("http://www.bing.com/maps/?lvl=14&amp;sty=h&amp;cp=33.3664~43.7714&amp;sp=point.33.3664_43.7714","Maplink3")</f>
        <v>Maplink3</v>
      </c>
    </row>
    <row r="77" spans="1:51" x14ac:dyDescent="0.2">
      <c r="A77" s="102">
        <v>21321</v>
      </c>
      <c r="B77" s="103" t="s">
        <v>29</v>
      </c>
      <c r="C77" s="103" t="s">
        <v>80</v>
      </c>
      <c r="D77" s="103" t="s">
        <v>332</v>
      </c>
      <c r="E77" s="103" t="s">
        <v>333</v>
      </c>
      <c r="F77" s="103">
        <v>33.260626999999999</v>
      </c>
      <c r="G77" s="103">
        <v>43.850725242800003</v>
      </c>
      <c r="H77" s="102">
        <v>1000</v>
      </c>
      <c r="I77" s="102">
        <v>6000</v>
      </c>
      <c r="J77" s="103"/>
      <c r="K77" s="103"/>
      <c r="L77" s="103"/>
      <c r="M77" s="103">
        <v>1000</v>
      </c>
      <c r="N77" s="103"/>
      <c r="O77" s="103"/>
      <c r="P77" s="103"/>
      <c r="Q77" s="103"/>
      <c r="R77" s="103"/>
      <c r="S77" s="103"/>
      <c r="T77" s="103"/>
      <c r="U77" s="103">
        <v>454</v>
      </c>
      <c r="V77" s="103"/>
      <c r="W77" s="103">
        <v>168</v>
      </c>
      <c r="X77" s="103"/>
      <c r="Y77" s="103"/>
      <c r="Z77" s="103"/>
      <c r="AA77" s="103">
        <v>159</v>
      </c>
      <c r="AB77" s="103"/>
      <c r="AC77" s="103">
        <v>219</v>
      </c>
      <c r="AD77" s="103"/>
      <c r="AE77" s="103"/>
      <c r="AF77" s="103"/>
      <c r="AG77" s="103"/>
      <c r="AH77" s="103"/>
      <c r="AI77" s="103"/>
      <c r="AJ77" s="103"/>
      <c r="AK77" s="103"/>
      <c r="AL77" s="103"/>
      <c r="AM77" s="103">
        <v>546</v>
      </c>
      <c r="AN77" s="103"/>
      <c r="AO77" s="103"/>
      <c r="AP77" s="103"/>
      <c r="AQ77" s="103"/>
      <c r="AR77" s="103">
        <v>454</v>
      </c>
      <c r="AS77" s="103"/>
      <c r="AT77" s="103"/>
      <c r="AU77" s="103"/>
      <c r="AV77" s="103"/>
      <c r="AW77" s="104" t="str">
        <f>HYPERLINK("http://www.openstreetmap.org/?mlat=33.2606&amp;mlon=43.8507&amp;zoom=12#map=12/33.2606/43.8507","Maplink1")</f>
        <v>Maplink1</v>
      </c>
      <c r="AX77" s="104" t="str">
        <f>HYPERLINK("https://www.google.iq/maps/search/+33.2606,43.8507/@33.2606,43.8507,14z?hl=en","Maplink2")</f>
        <v>Maplink2</v>
      </c>
      <c r="AY77" s="104" t="str">
        <f>HYPERLINK("http://www.bing.com/maps/?lvl=14&amp;sty=h&amp;cp=33.2606~43.8507&amp;sp=point.33.2606_43.8507","Maplink3")</f>
        <v>Maplink3</v>
      </c>
    </row>
    <row r="78" spans="1:51" x14ac:dyDescent="0.2">
      <c r="A78" s="102">
        <v>34015</v>
      </c>
      <c r="B78" s="103" t="s">
        <v>29</v>
      </c>
      <c r="C78" s="103" t="s">
        <v>80</v>
      </c>
      <c r="D78" s="103" t="s">
        <v>334</v>
      </c>
      <c r="E78" s="103" t="s">
        <v>335</v>
      </c>
      <c r="F78" s="103">
        <v>33.213999999999999</v>
      </c>
      <c r="G78" s="103">
        <v>43.459000000000003</v>
      </c>
      <c r="H78" s="102">
        <v>700</v>
      </c>
      <c r="I78" s="102">
        <v>4200</v>
      </c>
      <c r="J78" s="103"/>
      <c r="K78" s="103"/>
      <c r="L78" s="103"/>
      <c r="M78" s="103">
        <v>345</v>
      </c>
      <c r="N78" s="103">
        <v>355</v>
      </c>
      <c r="O78" s="103"/>
      <c r="P78" s="103"/>
      <c r="Q78" s="103"/>
      <c r="R78" s="103"/>
      <c r="S78" s="103"/>
      <c r="T78" s="103"/>
      <c r="U78" s="103">
        <v>230</v>
      </c>
      <c r="V78" s="103"/>
      <c r="W78" s="103"/>
      <c r="X78" s="103"/>
      <c r="Y78" s="103"/>
      <c r="Z78" s="103"/>
      <c r="AA78" s="103">
        <v>236</v>
      </c>
      <c r="AB78" s="103"/>
      <c r="AC78" s="103"/>
      <c r="AD78" s="103"/>
      <c r="AE78" s="103"/>
      <c r="AF78" s="103"/>
      <c r="AG78" s="103"/>
      <c r="AH78" s="103"/>
      <c r="AI78" s="103"/>
      <c r="AJ78" s="103">
        <v>234</v>
      </c>
      <c r="AK78" s="103"/>
      <c r="AL78" s="103"/>
      <c r="AM78" s="103">
        <v>460</v>
      </c>
      <c r="AN78" s="103">
        <v>100</v>
      </c>
      <c r="AO78" s="103"/>
      <c r="AP78" s="103"/>
      <c r="AQ78" s="103">
        <v>140</v>
      </c>
      <c r="AR78" s="103"/>
      <c r="AS78" s="103"/>
      <c r="AT78" s="103"/>
      <c r="AU78" s="103"/>
      <c r="AV78" s="103"/>
      <c r="AW78" s="104" t="str">
        <f>HYPERLINK("http://www.openstreetmap.org/?mlat=33.214&amp;mlon=43.459&amp;zoom=12#map=12/33.214/43.459","Maplink1")</f>
        <v>Maplink1</v>
      </c>
      <c r="AX78" s="104" t="str">
        <f>HYPERLINK("https://www.google.iq/maps/search/+33.214,43.459/@33.214,43.459,14z?hl=en","Maplink2")</f>
        <v>Maplink2</v>
      </c>
      <c r="AY78" s="104" t="str">
        <f>HYPERLINK("http://www.bing.com/maps/?lvl=14&amp;sty=h&amp;cp=33.214~43.459&amp;sp=point.33.214_43.459","Maplink3")</f>
        <v>Maplink3</v>
      </c>
    </row>
    <row r="79" spans="1:51" x14ac:dyDescent="0.2">
      <c r="A79" s="102">
        <v>23802</v>
      </c>
      <c r="B79" s="103" t="s">
        <v>29</v>
      </c>
      <c r="C79" s="103" t="s">
        <v>80</v>
      </c>
      <c r="D79" s="103" t="s">
        <v>336</v>
      </c>
      <c r="E79" s="103" t="s">
        <v>337</v>
      </c>
      <c r="F79" s="103">
        <v>33.254360285600001</v>
      </c>
      <c r="G79" s="103">
        <v>43.829690673100004</v>
      </c>
      <c r="H79" s="102">
        <v>562</v>
      </c>
      <c r="I79" s="102">
        <v>3372</v>
      </c>
      <c r="J79" s="103"/>
      <c r="K79" s="103"/>
      <c r="L79" s="103"/>
      <c r="M79" s="103">
        <v>532</v>
      </c>
      <c r="N79" s="103">
        <v>30</v>
      </c>
      <c r="O79" s="103"/>
      <c r="P79" s="103"/>
      <c r="Q79" s="103"/>
      <c r="R79" s="103"/>
      <c r="S79" s="103"/>
      <c r="T79" s="103"/>
      <c r="U79" s="103">
        <v>240</v>
      </c>
      <c r="V79" s="103"/>
      <c r="W79" s="103">
        <v>210</v>
      </c>
      <c r="X79" s="103"/>
      <c r="Y79" s="103"/>
      <c r="Z79" s="103"/>
      <c r="AA79" s="103"/>
      <c r="AB79" s="103"/>
      <c r="AC79" s="103">
        <v>112</v>
      </c>
      <c r="AD79" s="103"/>
      <c r="AE79" s="103"/>
      <c r="AF79" s="103"/>
      <c r="AG79" s="103"/>
      <c r="AH79" s="103"/>
      <c r="AI79" s="103"/>
      <c r="AJ79" s="103"/>
      <c r="AK79" s="103"/>
      <c r="AL79" s="103"/>
      <c r="AM79" s="103">
        <v>142</v>
      </c>
      <c r="AN79" s="103">
        <v>40</v>
      </c>
      <c r="AO79" s="103"/>
      <c r="AP79" s="103">
        <v>210</v>
      </c>
      <c r="AQ79" s="103"/>
      <c r="AR79" s="103">
        <v>170</v>
      </c>
      <c r="AS79" s="103"/>
      <c r="AT79" s="103"/>
      <c r="AU79" s="103"/>
      <c r="AV79" s="103"/>
      <c r="AW79" s="104" t="str">
        <f>HYPERLINK("http://www.openstreetmap.org/?mlat=33.2544&amp;mlon=43.8297&amp;zoom=12#map=12/33.2544/43.8297","Maplink1")</f>
        <v>Maplink1</v>
      </c>
      <c r="AX79" s="104" t="str">
        <f>HYPERLINK("https://www.google.iq/maps/search/+33.2544,43.8297/@33.2544,43.8297,14z?hl=en","Maplink2")</f>
        <v>Maplink2</v>
      </c>
      <c r="AY79" s="104" t="str">
        <f>HYPERLINK("http://www.bing.com/maps/?lvl=14&amp;sty=h&amp;cp=33.2544~43.8297&amp;sp=point.33.2544_43.8297","Maplink3")</f>
        <v>Maplink3</v>
      </c>
    </row>
    <row r="80" spans="1:51" x14ac:dyDescent="0.2">
      <c r="A80" s="102">
        <v>121</v>
      </c>
      <c r="B80" s="103" t="s">
        <v>29</v>
      </c>
      <c r="C80" s="103" t="s">
        <v>80</v>
      </c>
      <c r="D80" s="103" t="s">
        <v>389</v>
      </c>
      <c r="E80" s="103" t="s">
        <v>390</v>
      </c>
      <c r="F80" s="103">
        <v>33.345650854799999</v>
      </c>
      <c r="G80" s="103">
        <v>43.783131731499999</v>
      </c>
      <c r="H80" s="102">
        <v>2432</v>
      </c>
      <c r="I80" s="102">
        <v>14592</v>
      </c>
      <c r="J80" s="103"/>
      <c r="K80" s="103"/>
      <c r="L80" s="103"/>
      <c r="M80" s="103">
        <v>2395</v>
      </c>
      <c r="N80" s="103">
        <v>37</v>
      </c>
      <c r="O80" s="103"/>
      <c r="P80" s="103"/>
      <c r="Q80" s="103"/>
      <c r="R80" s="103"/>
      <c r="S80" s="103"/>
      <c r="T80" s="103"/>
      <c r="U80" s="103">
        <v>1491</v>
      </c>
      <c r="V80" s="103"/>
      <c r="W80" s="103">
        <v>494</v>
      </c>
      <c r="X80" s="103"/>
      <c r="Y80" s="103"/>
      <c r="Z80" s="103"/>
      <c r="AA80" s="103">
        <v>327</v>
      </c>
      <c r="AB80" s="103"/>
      <c r="AC80" s="103">
        <v>120</v>
      </c>
      <c r="AD80" s="103"/>
      <c r="AE80" s="103"/>
      <c r="AF80" s="103"/>
      <c r="AG80" s="103"/>
      <c r="AH80" s="103"/>
      <c r="AI80" s="103"/>
      <c r="AJ80" s="103"/>
      <c r="AK80" s="103"/>
      <c r="AL80" s="103"/>
      <c r="AM80" s="103">
        <v>1166</v>
      </c>
      <c r="AN80" s="103"/>
      <c r="AO80" s="103"/>
      <c r="AP80" s="103">
        <v>120</v>
      </c>
      <c r="AQ80" s="103">
        <v>706</v>
      </c>
      <c r="AR80" s="103">
        <v>440</v>
      </c>
      <c r="AS80" s="103"/>
      <c r="AT80" s="103"/>
      <c r="AU80" s="103"/>
      <c r="AV80" s="103"/>
      <c r="AW80" s="104" t="str">
        <f>HYPERLINK("http://www.openstreetmap.org/?mlat=33.3457&amp;mlon=43.7831&amp;zoom=12#map=12/33.3457/43.7831","Maplink1")</f>
        <v>Maplink1</v>
      </c>
      <c r="AX80" s="104" t="str">
        <f>HYPERLINK("https://www.google.iq/maps/search/+33.3457,43.7831/@33.3457,43.7831,14z?hl=en","Maplink2")</f>
        <v>Maplink2</v>
      </c>
      <c r="AY80" s="104" t="str">
        <f>HYPERLINK("http://www.bing.com/maps/?lvl=14&amp;sty=h&amp;cp=33.3457~43.7831&amp;sp=point.33.3457_43.7831","Maplink3")</f>
        <v>Maplink3</v>
      </c>
    </row>
    <row r="81" spans="1:51" x14ac:dyDescent="0.2">
      <c r="A81" s="102">
        <v>33780</v>
      </c>
      <c r="B81" s="103" t="s">
        <v>29</v>
      </c>
      <c r="C81" s="103" t="s">
        <v>80</v>
      </c>
      <c r="D81" s="103" t="s">
        <v>391</v>
      </c>
      <c r="E81" s="103" t="s">
        <v>392</v>
      </c>
      <c r="F81" s="103">
        <v>33.428469999999997</v>
      </c>
      <c r="G81" s="103">
        <v>43.789720000000003</v>
      </c>
      <c r="H81" s="102">
        <v>110</v>
      </c>
      <c r="I81" s="102">
        <v>660</v>
      </c>
      <c r="J81" s="103"/>
      <c r="K81" s="103"/>
      <c r="L81" s="103"/>
      <c r="M81" s="103">
        <v>60</v>
      </c>
      <c r="N81" s="103">
        <v>50</v>
      </c>
      <c r="O81" s="103"/>
      <c r="P81" s="103"/>
      <c r="Q81" s="103"/>
      <c r="R81" s="103"/>
      <c r="S81" s="103"/>
      <c r="T81" s="103"/>
      <c r="U81" s="103">
        <v>92</v>
      </c>
      <c r="V81" s="103"/>
      <c r="W81" s="103">
        <v>7</v>
      </c>
      <c r="X81" s="103"/>
      <c r="Y81" s="103"/>
      <c r="Z81" s="103"/>
      <c r="AA81" s="103">
        <v>11</v>
      </c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>
        <v>35</v>
      </c>
      <c r="AO81" s="103"/>
      <c r="AP81" s="103">
        <v>25</v>
      </c>
      <c r="AQ81" s="103">
        <v>30</v>
      </c>
      <c r="AR81" s="103">
        <v>20</v>
      </c>
      <c r="AS81" s="103"/>
      <c r="AT81" s="103"/>
      <c r="AU81" s="103"/>
      <c r="AV81" s="103"/>
      <c r="AW81" s="104" t="str">
        <f>HYPERLINK("http://www.openstreetmap.org/?mlat=33.4285&amp;mlon=43.7897&amp;zoom=12#map=12/33.4285/43.7897","Maplink1")</f>
        <v>Maplink1</v>
      </c>
      <c r="AX81" s="104" t="str">
        <f>HYPERLINK("https://www.google.iq/maps/search/+33.4285,43.7897/@33.4285,43.7897,14z?hl=en","Maplink2")</f>
        <v>Maplink2</v>
      </c>
      <c r="AY81" s="104" t="str">
        <f>HYPERLINK("http://www.bing.com/maps/?lvl=14&amp;sty=h&amp;cp=33.4285~43.7897&amp;sp=point.33.4285_43.7897","Maplink3")</f>
        <v>Maplink3</v>
      </c>
    </row>
    <row r="82" spans="1:51" x14ac:dyDescent="0.2">
      <c r="A82" s="102">
        <v>22864</v>
      </c>
      <c r="B82" s="103" t="s">
        <v>29</v>
      </c>
      <c r="C82" s="103" t="s">
        <v>80</v>
      </c>
      <c r="D82" s="103" t="s">
        <v>348</v>
      </c>
      <c r="E82" s="103" t="s">
        <v>349</v>
      </c>
      <c r="F82" s="103">
        <v>33.271725399899999</v>
      </c>
      <c r="G82" s="103">
        <v>43.770976664499997</v>
      </c>
      <c r="H82" s="102">
        <v>998</v>
      </c>
      <c r="I82" s="102">
        <v>5988</v>
      </c>
      <c r="J82" s="103"/>
      <c r="K82" s="103"/>
      <c r="L82" s="103"/>
      <c r="M82" s="103">
        <v>979</v>
      </c>
      <c r="N82" s="103">
        <v>19</v>
      </c>
      <c r="O82" s="103"/>
      <c r="P82" s="103"/>
      <c r="Q82" s="103"/>
      <c r="R82" s="103"/>
      <c r="S82" s="103"/>
      <c r="T82" s="103"/>
      <c r="U82" s="103">
        <v>607</v>
      </c>
      <c r="V82" s="103"/>
      <c r="W82" s="103">
        <v>214</v>
      </c>
      <c r="X82" s="103"/>
      <c r="Y82" s="103">
        <v>13</v>
      </c>
      <c r="Z82" s="103"/>
      <c r="AA82" s="103">
        <v>82</v>
      </c>
      <c r="AB82" s="103"/>
      <c r="AC82" s="103">
        <v>63</v>
      </c>
      <c r="AD82" s="103"/>
      <c r="AE82" s="103"/>
      <c r="AF82" s="103"/>
      <c r="AG82" s="103"/>
      <c r="AH82" s="103"/>
      <c r="AI82" s="103"/>
      <c r="AJ82" s="103">
        <v>19</v>
      </c>
      <c r="AK82" s="103"/>
      <c r="AL82" s="103"/>
      <c r="AM82" s="103">
        <v>371</v>
      </c>
      <c r="AN82" s="103">
        <v>43</v>
      </c>
      <c r="AO82" s="103"/>
      <c r="AP82" s="103">
        <v>56</v>
      </c>
      <c r="AQ82" s="103">
        <v>84</v>
      </c>
      <c r="AR82" s="103">
        <v>444</v>
      </c>
      <c r="AS82" s="103"/>
      <c r="AT82" s="103"/>
      <c r="AU82" s="103"/>
      <c r="AV82" s="103"/>
      <c r="AW82" s="104" t="str">
        <f>HYPERLINK("http://www.openstreetmap.org/?mlat=33.2717&amp;mlon=43.771&amp;zoom=12#map=12/33.2717/43.771","Maplink1")</f>
        <v>Maplink1</v>
      </c>
      <c r="AX82" s="104" t="str">
        <f>HYPERLINK("https://www.google.iq/maps/search/+33.2717,43.771/@33.2717,43.771,14z?hl=en","Maplink2")</f>
        <v>Maplink2</v>
      </c>
      <c r="AY82" s="104" t="str">
        <f>HYPERLINK("http://www.bing.com/maps/?lvl=14&amp;sty=h&amp;cp=33.2717~43.771&amp;sp=point.33.2717_43.771","Maplink3")</f>
        <v>Maplink3</v>
      </c>
    </row>
    <row r="83" spans="1:51" x14ac:dyDescent="0.2">
      <c r="A83" s="102">
        <v>175</v>
      </c>
      <c r="B83" s="103" t="s">
        <v>29</v>
      </c>
      <c r="C83" s="103" t="s">
        <v>80</v>
      </c>
      <c r="D83" s="103" t="s">
        <v>350</v>
      </c>
      <c r="E83" s="103" t="s">
        <v>351</v>
      </c>
      <c r="F83" s="103">
        <v>33.340919999999997</v>
      </c>
      <c r="G83" s="103">
        <v>43.768019293899997</v>
      </c>
      <c r="H83" s="102">
        <v>1927</v>
      </c>
      <c r="I83" s="102">
        <v>11562</v>
      </c>
      <c r="J83" s="103"/>
      <c r="K83" s="103"/>
      <c r="L83" s="103"/>
      <c r="M83" s="103">
        <v>1861</v>
      </c>
      <c r="N83" s="103">
        <v>66</v>
      </c>
      <c r="O83" s="103"/>
      <c r="P83" s="103"/>
      <c r="Q83" s="103"/>
      <c r="R83" s="103"/>
      <c r="S83" s="103"/>
      <c r="T83" s="103"/>
      <c r="U83" s="103">
        <v>807</v>
      </c>
      <c r="V83" s="103"/>
      <c r="W83" s="103">
        <v>538</v>
      </c>
      <c r="X83" s="103"/>
      <c r="Y83" s="103"/>
      <c r="Z83" s="103"/>
      <c r="AA83" s="103">
        <v>346</v>
      </c>
      <c r="AB83" s="103"/>
      <c r="AC83" s="103">
        <v>135</v>
      </c>
      <c r="AD83" s="103"/>
      <c r="AE83" s="103"/>
      <c r="AF83" s="103"/>
      <c r="AG83" s="103"/>
      <c r="AH83" s="103"/>
      <c r="AI83" s="103"/>
      <c r="AJ83" s="103">
        <v>101</v>
      </c>
      <c r="AK83" s="103"/>
      <c r="AL83" s="103"/>
      <c r="AM83" s="103">
        <v>1034</v>
      </c>
      <c r="AN83" s="103">
        <v>186</v>
      </c>
      <c r="AO83" s="103"/>
      <c r="AP83" s="103">
        <v>167</v>
      </c>
      <c r="AQ83" s="103">
        <v>322</v>
      </c>
      <c r="AR83" s="103">
        <v>218</v>
      </c>
      <c r="AS83" s="103"/>
      <c r="AT83" s="103"/>
      <c r="AU83" s="103"/>
      <c r="AV83" s="103"/>
      <c r="AW83" s="104" t="str">
        <f>HYPERLINK("http://www.openstreetmap.org/?mlat=33.3409&amp;mlon=43.768&amp;zoom=12#map=12/33.3409/43.768","Maplink1")</f>
        <v>Maplink1</v>
      </c>
      <c r="AX83" s="104" t="str">
        <f>HYPERLINK("https://www.google.iq/maps/search/+33.3409,43.768/@33.3409,43.768,14z?hl=en","Maplink2")</f>
        <v>Maplink2</v>
      </c>
      <c r="AY83" s="104" t="str">
        <f>HYPERLINK("http://www.bing.com/maps/?lvl=14&amp;sty=h&amp;cp=33.3409~43.768&amp;sp=point.33.3409_43.768","Maplink3")</f>
        <v>Maplink3</v>
      </c>
    </row>
    <row r="84" spans="1:51" x14ac:dyDescent="0.2">
      <c r="A84" s="102">
        <v>31878</v>
      </c>
      <c r="B84" s="103" t="s">
        <v>29</v>
      </c>
      <c r="C84" s="103" t="s">
        <v>80</v>
      </c>
      <c r="D84" s="103" t="s">
        <v>352</v>
      </c>
      <c r="E84" s="103" t="s">
        <v>353</v>
      </c>
      <c r="F84" s="103">
        <v>33.618385364200002</v>
      </c>
      <c r="G84" s="103">
        <v>43.666218069300001</v>
      </c>
      <c r="H84" s="102">
        <v>799</v>
      </c>
      <c r="I84" s="102">
        <v>4794</v>
      </c>
      <c r="J84" s="103"/>
      <c r="K84" s="103"/>
      <c r="L84" s="103"/>
      <c r="M84" s="103">
        <v>789</v>
      </c>
      <c r="N84" s="103">
        <v>10</v>
      </c>
      <c r="O84" s="103"/>
      <c r="P84" s="103"/>
      <c r="Q84" s="103"/>
      <c r="R84" s="103"/>
      <c r="S84" s="103"/>
      <c r="T84" s="103"/>
      <c r="U84" s="103">
        <v>149</v>
      </c>
      <c r="V84" s="103"/>
      <c r="W84" s="103">
        <v>334</v>
      </c>
      <c r="X84" s="103"/>
      <c r="Y84" s="103"/>
      <c r="Z84" s="103"/>
      <c r="AA84" s="103">
        <v>150</v>
      </c>
      <c r="AB84" s="103"/>
      <c r="AC84" s="103">
        <v>166</v>
      </c>
      <c r="AD84" s="103"/>
      <c r="AE84" s="103"/>
      <c r="AF84" s="103"/>
      <c r="AG84" s="103"/>
      <c r="AH84" s="103"/>
      <c r="AI84" s="103"/>
      <c r="AJ84" s="103"/>
      <c r="AK84" s="103"/>
      <c r="AL84" s="103"/>
      <c r="AM84" s="103">
        <v>334</v>
      </c>
      <c r="AN84" s="103"/>
      <c r="AO84" s="103"/>
      <c r="AP84" s="103">
        <v>166</v>
      </c>
      <c r="AQ84" s="103">
        <v>196</v>
      </c>
      <c r="AR84" s="103">
        <v>103</v>
      </c>
      <c r="AS84" s="103"/>
      <c r="AT84" s="103"/>
      <c r="AU84" s="103"/>
      <c r="AV84" s="103"/>
      <c r="AW84" s="104" t="str">
        <f>HYPERLINK("http://www.openstreetmap.org/?mlat=33.6184&amp;mlon=43.6662&amp;zoom=12#map=12/33.6184/43.6662","Maplink1")</f>
        <v>Maplink1</v>
      </c>
      <c r="AX84" s="104" t="str">
        <f>HYPERLINK("https://www.google.iq/maps/search/+33.6184,43.6662/@33.6184,43.6662,14z?hl=en","Maplink2")</f>
        <v>Maplink2</v>
      </c>
      <c r="AY84" s="104" t="str">
        <f>HYPERLINK("http://www.bing.com/maps/?lvl=14&amp;sty=h&amp;cp=33.6184~43.6662&amp;sp=point.33.6184_43.6662","Maplink3")</f>
        <v>Maplink3</v>
      </c>
    </row>
    <row r="85" spans="1:51" x14ac:dyDescent="0.2">
      <c r="A85" s="102">
        <v>31879</v>
      </c>
      <c r="B85" s="103" t="s">
        <v>29</v>
      </c>
      <c r="C85" s="103" t="s">
        <v>80</v>
      </c>
      <c r="D85" s="103" t="s">
        <v>354</v>
      </c>
      <c r="E85" s="103" t="s">
        <v>355</v>
      </c>
      <c r="F85" s="103">
        <v>33.368708440100001</v>
      </c>
      <c r="G85" s="103">
        <v>43.751490712200003</v>
      </c>
      <c r="H85" s="102">
        <v>885</v>
      </c>
      <c r="I85" s="102">
        <v>5310</v>
      </c>
      <c r="J85" s="103"/>
      <c r="K85" s="103"/>
      <c r="L85" s="103"/>
      <c r="M85" s="103">
        <v>885</v>
      </c>
      <c r="N85" s="103"/>
      <c r="O85" s="103"/>
      <c r="P85" s="103"/>
      <c r="Q85" s="103"/>
      <c r="R85" s="103"/>
      <c r="S85" s="103"/>
      <c r="T85" s="103"/>
      <c r="U85" s="103">
        <v>292</v>
      </c>
      <c r="V85" s="103"/>
      <c r="W85" s="103">
        <v>352</v>
      </c>
      <c r="X85" s="103"/>
      <c r="Y85" s="103"/>
      <c r="Z85" s="103"/>
      <c r="AA85" s="103"/>
      <c r="AB85" s="103"/>
      <c r="AC85" s="103">
        <v>241</v>
      </c>
      <c r="AD85" s="103"/>
      <c r="AE85" s="103"/>
      <c r="AF85" s="103"/>
      <c r="AG85" s="103"/>
      <c r="AH85" s="103"/>
      <c r="AI85" s="103"/>
      <c r="AJ85" s="103"/>
      <c r="AK85" s="103"/>
      <c r="AL85" s="103"/>
      <c r="AM85" s="103">
        <v>695</v>
      </c>
      <c r="AN85" s="103"/>
      <c r="AO85" s="103"/>
      <c r="AP85" s="103"/>
      <c r="AQ85" s="103"/>
      <c r="AR85" s="103">
        <v>190</v>
      </c>
      <c r="AS85" s="103"/>
      <c r="AT85" s="103"/>
      <c r="AU85" s="103"/>
      <c r="AV85" s="103"/>
      <c r="AW85" s="104" t="str">
        <f>HYPERLINK("http://www.openstreetmap.org/?mlat=33.3687&amp;mlon=43.7515&amp;zoom=12#map=12/33.3687/43.7515","Maplink1")</f>
        <v>Maplink1</v>
      </c>
      <c r="AX85" s="104" t="str">
        <f>HYPERLINK("https://www.google.iq/maps/search/+33.3687,43.7515/@33.3687,43.7515,14z?hl=en","Maplink2")</f>
        <v>Maplink2</v>
      </c>
      <c r="AY85" s="104" t="str">
        <f>HYPERLINK("http://www.bing.com/maps/?lvl=14&amp;sty=h&amp;cp=33.3687~43.7515&amp;sp=point.33.3687_43.7515","Maplink3")</f>
        <v>Maplink3</v>
      </c>
    </row>
    <row r="86" spans="1:51" x14ac:dyDescent="0.2">
      <c r="A86" s="102">
        <v>176</v>
      </c>
      <c r="B86" s="103" t="s">
        <v>29</v>
      </c>
      <c r="C86" s="103" t="s">
        <v>80</v>
      </c>
      <c r="D86" s="103" t="s">
        <v>295</v>
      </c>
      <c r="E86" s="103" t="s">
        <v>296</v>
      </c>
      <c r="F86" s="103">
        <v>33.348334481400002</v>
      </c>
      <c r="G86" s="103">
        <v>43.762959251200002</v>
      </c>
      <c r="H86" s="102">
        <v>2769</v>
      </c>
      <c r="I86" s="102">
        <v>16614</v>
      </c>
      <c r="J86" s="103"/>
      <c r="K86" s="103"/>
      <c r="L86" s="103"/>
      <c r="M86" s="103">
        <v>2769</v>
      </c>
      <c r="N86" s="103"/>
      <c r="O86" s="103"/>
      <c r="P86" s="103"/>
      <c r="Q86" s="103"/>
      <c r="R86" s="103"/>
      <c r="S86" s="103"/>
      <c r="T86" s="103"/>
      <c r="U86" s="103">
        <v>1379</v>
      </c>
      <c r="V86" s="103"/>
      <c r="W86" s="103">
        <v>267</v>
      </c>
      <c r="X86" s="103"/>
      <c r="Y86" s="103"/>
      <c r="Z86" s="103"/>
      <c r="AA86" s="103">
        <v>589</v>
      </c>
      <c r="AB86" s="103"/>
      <c r="AC86" s="103">
        <v>114</v>
      </c>
      <c r="AD86" s="103"/>
      <c r="AE86" s="103"/>
      <c r="AF86" s="103"/>
      <c r="AG86" s="103"/>
      <c r="AH86" s="103"/>
      <c r="AI86" s="103"/>
      <c r="AJ86" s="103">
        <v>420</v>
      </c>
      <c r="AK86" s="103"/>
      <c r="AL86" s="103"/>
      <c r="AM86" s="103">
        <v>1502</v>
      </c>
      <c r="AN86" s="103">
        <v>173</v>
      </c>
      <c r="AO86" s="103"/>
      <c r="AP86" s="103">
        <v>210</v>
      </c>
      <c r="AQ86" s="103">
        <v>456</v>
      </c>
      <c r="AR86" s="103">
        <v>428</v>
      </c>
      <c r="AS86" s="103"/>
      <c r="AT86" s="103"/>
      <c r="AU86" s="103"/>
      <c r="AV86" s="103"/>
      <c r="AW86" s="104" t="str">
        <f>HYPERLINK("http://www.openstreetmap.org/?mlat=33.3483&amp;mlon=43.763&amp;zoom=12#map=12/33.3483/43.763","Maplink1")</f>
        <v>Maplink1</v>
      </c>
      <c r="AX86" s="104" t="str">
        <f>HYPERLINK("https://www.google.iq/maps/search/+33.3483,43.763/@33.3483,43.763,14z?hl=en","Maplink2")</f>
        <v>Maplink2</v>
      </c>
      <c r="AY86" s="104" t="str">
        <f>HYPERLINK("http://www.bing.com/maps/?lvl=14&amp;sty=h&amp;cp=33.3483~43.763&amp;sp=point.33.3483_43.763","Maplink3")</f>
        <v>Maplink3</v>
      </c>
    </row>
    <row r="87" spans="1:51" x14ac:dyDescent="0.2">
      <c r="A87" s="102">
        <v>306</v>
      </c>
      <c r="B87" s="103" t="s">
        <v>29</v>
      </c>
      <c r="C87" s="103" t="s">
        <v>80</v>
      </c>
      <c r="D87" s="103" t="s">
        <v>297</v>
      </c>
      <c r="E87" s="103" t="s">
        <v>298</v>
      </c>
      <c r="F87" s="103">
        <v>33.362340000000003</v>
      </c>
      <c r="G87" s="103">
        <v>43.813654594100001</v>
      </c>
      <c r="H87" s="102">
        <v>172</v>
      </c>
      <c r="I87" s="102">
        <v>1032</v>
      </c>
      <c r="J87" s="103"/>
      <c r="K87" s="103"/>
      <c r="L87" s="103"/>
      <c r="M87" s="103">
        <v>172</v>
      </c>
      <c r="N87" s="103"/>
      <c r="O87" s="103"/>
      <c r="P87" s="103"/>
      <c r="Q87" s="103"/>
      <c r="R87" s="103"/>
      <c r="S87" s="103"/>
      <c r="T87" s="103"/>
      <c r="U87" s="103">
        <v>61</v>
      </c>
      <c r="V87" s="103"/>
      <c r="W87" s="103">
        <v>82</v>
      </c>
      <c r="X87" s="103"/>
      <c r="Y87" s="103"/>
      <c r="Z87" s="103"/>
      <c r="AA87" s="103">
        <v>19</v>
      </c>
      <c r="AB87" s="103"/>
      <c r="AC87" s="103"/>
      <c r="AD87" s="103"/>
      <c r="AE87" s="103"/>
      <c r="AF87" s="103"/>
      <c r="AG87" s="103"/>
      <c r="AH87" s="103"/>
      <c r="AI87" s="103"/>
      <c r="AJ87" s="103">
        <v>10</v>
      </c>
      <c r="AK87" s="103"/>
      <c r="AL87" s="103"/>
      <c r="AM87" s="103">
        <v>29</v>
      </c>
      <c r="AN87" s="103">
        <v>31</v>
      </c>
      <c r="AO87" s="103"/>
      <c r="AP87" s="103"/>
      <c r="AQ87" s="103">
        <v>32</v>
      </c>
      <c r="AR87" s="103">
        <v>80</v>
      </c>
      <c r="AS87" s="103"/>
      <c r="AT87" s="103"/>
      <c r="AU87" s="103"/>
      <c r="AV87" s="103"/>
      <c r="AW87" s="104" t="str">
        <f>HYPERLINK("http://www.openstreetmap.org/?mlat=33.3623&amp;mlon=43.8137&amp;zoom=12#map=12/33.3623/43.8137","Maplink1")</f>
        <v>Maplink1</v>
      </c>
      <c r="AX87" s="104" t="str">
        <f>HYPERLINK("https://www.google.iq/maps/search/+33.3623,43.8137/@33.3623,43.8137,14z?hl=en","Maplink2")</f>
        <v>Maplink2</v>
      </c>
      <c r="AY87" s="104" t="str">
        <f>HYPERLINK("http://www.bing.com/maps/?lvl=14&amp;sty=h&amp;cp=33.3623~43.8137&amp;sp=point.33.3623_43.8137","Maplink3")</f>
        <v>Maplink3</v>
      </c>
    </row>
    <row r="88" spans="1:51" x14ac:dyDescent="0.2">
      <c r="A88" s="102">
        <v>207</v>
      </c>
      <c r="B88" s="103" t="s">
        <v>29</v>
      </c>
      <c r="C88" s="103" t="s">
        <v>80</v>
      </c>
      <c r="D88" s="103" t="s">
        <v>370</v>
      </c>
      <c r="E88" s="103" t="s">
        <v>371</v>
      </c>
      <c r="F88" s="103">
        <v>33.345926301600002</v>
      </c>
      <c r="G88" s="103">
        <v>43.7573679355</v>
      </c>
      <c r="H88" s="102">
        <v>20</v>
      </c>
      <c r="I88" s="102">
        <v>120</v>
      </c>
      <c r="J88" s="103"/>
      <c r="K88" s="103"/>
      <c r="L88" s="103"/>
      <c r="M88" s="103">
        <v>20</v>
      </c>
      <c r="N88" s="103"/>
      <c r="O88" s="103"/>
      <c r="P88" s="103"/>
      <c r="Q88" s="103"/>
      <c r="R88" s="103"/>
      <c r="S88" s="103"/>
      <c r="T88" s="103"/>
      <c r="U88" s="103">
        <v>11</v>
      </c>
      <c r="V88" s="103"/>
      <c r="W88" s="103"/>
      <c r="X88" s="103"/>
      <c r="Y88" s="103"/>
      <c r="Z88" s="103"/>
      <c r="AA88" s="103"/>
      <c r="AB88" s="103"/>
      <c r="AC88" s="103">
        <v>9</v>
      </c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>
        <v>20</v>
      </c>
      <c r="AS88" s="103"/>
      <c r="AT88" s="103"/>
      <c r="AU88" s="103"/>
      <c r="AV88" s="103"/>
      <c r="AW88" s="104" t="str">
        <f>HYPERLINK("http://www.openstreetmap.org/?mlat=33.3459&amp;mlon=43.7574&amp;zoom=12#map=12/33.3459/43.7574","Maplink1")</f>
        <v>Maplink1</v>
      </c>
      <c r="AX88" s="104" t="str">
        <f>HYPERLINK("https://www.google.iq/maps/search/+33.3459,43.7574/@33.3459,43.7574,14z?hl=en","Maplink2")</f>
        <v>Maplink2</v>
      </c>
      <c r="AY88" s="104" t="str">
        <f>HYPERLINK("http://www.bing.com/maps/?lvl=14&amp;sty=h&amp;cp=33.3459~43.7574&amp;sp=point.33.3459_43.7574","Maplink3")</f>
        <v>Maplink3</v>
      </c>
    </row>
    <row r="89" spans="1:51" x14ac:dyDescent="0.2">
      <c r="A89" s="102">
        <v>148</v>
      </c>
      <c r="B89" s="103" t="s">
        <v>29</v>
      </c>
      <c r="C89" s="103" t="s">
        <v>80</v>
      </c>
      <c r="D89" s="103" t="s">
        <v>372</v>
      </c>
      <c r="E89" s="103" t="s">
        <v>373</v>
      </c>
      <c r="F89" s="103">
        <v>33.3602662423</v>
      </c>
      <c r="G89" s="103">
        <v>43.7779121015</v>
      </c>
      <c r="H89" s="102">
        <v>2227</v>
      </c>
      <c r="I89" s="102">
        <v>13362</v>
      </c>
      <c r="J89" s="103"/>
      <c r="K89" s="103"/>
      <c r="L89" s="103"/>
      <c r="M89" s="103">
        <v>2227</v>
      </c>
      <c r="N89" s="103"/>
      <c r="O89" s="103"/>
      <c r="P89" s="103"/>
      <c r="Q89" s="103"/>
      <c r="R89" s="103"/>
      <c r="S89" s="103"/>
      <c r="T89" s="103"/>
      <c r="U89" s="103">
        <v>1205</v>
      </c>
      <c r="V89" s="103"/>
      <c r="W89" s="103">
        <v>413</v>
      </c>
      <c r="X89" s="103"/>
      <c r="Y89" s="103"/>
      <c r="Z89" s="103"/>
      <c r="AA89" s="103">
        <v>269</v>
      </c>
      <c r="AB89" s="103"/>
      <c r="AC89" s="103">
        <v>200</v>
      </c>
      <c r="AD89" s="103"/>
      <c r="AE89" s="103"/>
      <c r="AF89" s="103"/>
      <c r="AG89" s="103"/>
      <c r="AH89" s="103"/>
      <c r="AI89" s="103"/>
      <c r="AJ89" s="103">
        <v>140</v>
      </c>
      <c r="AK89" s="103"/>
      <c r="AL89" s="103"/>
      <c r="AM89" s="103">
        <v>1452</v>
      </c>
      <c r="AN89" s="103"/>
      <c r="AO89" s="103"/>
      <c r="AP89" s="103">
        <v>97</v>
      </c>
      <c r="AQ89" s="103">
        <v>434</v>
      </c>
      <c r="AR89" s="103">
        <v>244</v>
      </c>
      <c r="AS89" s="103"/>
      <c r="AT89" s="103"/>
      <c r="AU89" s="103"/>
      <c r="AV89" s="103"/>
      <c r="AW89" s="104" t="str">
        <f>HYPERLINK("http://www.openstreetmap.org/?mlat=33.3603&amp;mlon=43.7779&amp;zoom=12#map=12/33.3603/43.7779","Maplink1")</f>
        <v>Maplink1</v>
      </c>
      <c r="AX89" s="104" t="str">
        <f>HYPERLINK("https://www.google.iq/maps/search/+33.3603,43.7779/@33.3603,43.7779,14z?hl=en","Maplink2")</f>
        <v>Maplink2</v>
      </c>
      <c r="AY89" s="104" t="str">
        <f>HYPERLINK("http://www.bing.com/maps/?lvl=14&amp;sty=h&amp;cp=33.3603~43.7779&amp;sp=point.33.3603_43.7779","Maplink3")</f>
        <v>Maplink3</v>
      </c>
    </row>
    <row r="90" spans="1:51" x14ac:dyDescent="0.2">
      <c r="A90" s="102">
        <v>128</v>
      </c>
      <c r="B90" s="103" t="s">
        <v>29</v>
      </c>
      <c r="C90" s="103" t="s">
        <v>80</v>
      </c>
      <c r="D90" s="103" t="s">
        <v>374</v>
      </c>
      <c r="E90" s="103" t="s">
        <v>375</v>
      </c>
      <c r="F90" s="103">
        <v>33.361519999999999</v>
      </c>
      <c r="G90" s="103">
        <v>43.804037537200003</v>
      </c>
      <c r="H90" s="102">
        <v>3548</v>
      </c>
      <c r="I90" s="102">
        <v>21288</v>
      </c>
      <c r="J90" s="103"/>
      <c r="K90" s="103"/>
      <c r="L90" s="103">
        <v>376</v>
      </c>
      <c r="M90" s="103">
        <v>3172</v>
      </c>
      <c r="N90" s="103"/>
      <c r="O90" s="103"/>
      <c r="P90" s="103"/>
      <c r="Q90" s="103"/>
      <c r="R90" s="103"/>
      <c r="S90" s="103"/>
      <c r="T90" s="103"/>
      <c r="U90" s="103">
        <v>1559</v>
      </c>
      <c r="V90" s="103"/>
      <c r="W90" s="103">
        <v>627</v>
      </c>
      <c r="X90" s="103"/>
      <c r="Y90" s="103"/>
      <c r="Z90" s="103"/>
      <c r="AA90" s="103">
        <v>712</v>
      </c>
      <c r="AB90" s="103"/>
      <c r="AC90" s="103">
        <v>328</v>
      </c>
      <c r="AD90" s="103"/>
      <c r="AE90" s="103"/>
      <c r="AF90" s="103"/>
      <c r="AG90" s="103"/>
      <c r="AH90" s="103"/>
      <c r="AI90" s="103"/>
      <c r="AJ90" s="103">
        <v>322</v>
      </c>
      <c r="AK90" s="103"/>
      <c r="AL90" s="103"/>
      <c r="AM90" s="103">
        <v>1867</v>
      </c>
      <c r="AN90" s="103">
        <v>530</v>
      </c>
      <c r="AO90" s="103"/>
      <c r="AP90" s="103">
        <v>109</v>
      </c>
      <c r="AQ90" s="103">
        <v>798</v>
      </c>
      <c r="AR90" s="103">
        <v>244</v>
      </c>
      <c r="AS90" s="103"/>
      <c r="AT90" s="103"/>
      <c r="AU90" s="103"/>
      <c r="AV90" s="103"/>
      <c r="AW90" s="104" t="str">
        <f>HYPERLINK("http://www.openstreetmap.org/?mlat=33.3615&amp;mlon=43.804&amp;zoom=12#map=12/33.3615/43.804","Maplink1")</f>
        <v>Maplink1</v>
      </c>
      <c r="AX90" s="104" t="str">
        <f>HYPERLINK("https://www.google.iq/maps/search/+33.3615,43.804/@33.3615,43.804,14z?hl=en","Maplink2")</f>
        <v>Maplink2</v>
      </c>
      <c r="AY90" s="104" t="str">
        <f>HYPERLINK("http://www.bing.com/maps/?lvl=14&amp;sty=h&amp;cp=33.3615~43.804&amp;sp=point.33.3615_43.804","Maplink3")</f>
        <v>Maplink3</v>
      </c>
    </row>
    <row r="91" spans="1:51" x14ac:dyDescent="0.2">
      <c r="A91" s="102">
        <v>125</v>
      </c>
      <c r="B91" s="103" t="s">
        <v>29</v>
      </c>
      <c r="C91" s="103" t="s">
        <v>80</v>
      </c>
      <c r="D91" s="103" t="s">
        <v>376</v>
      </c>
      <c r="E91" s="103" t="s">
        <v>377</v>
      </c>
      <c r="F91" s="103">
        <v>33.357419999999998</v>
      </c>
      <c r="G91" s="103">
        <v>43.792848415800002</v>
      </c>
      <c r="H91" s="102">
        <v>3662</v>
      </c>
      <c r="I91" s="102">
        <v>21972</v>
      </c>
      <c r="J91" s="103"/>
      <c r="K91" s="103"/>
      <c r="L91" s="103">
        <v>277</v>
      </c>
      <c r="M91" s="103">
        <v>3385</v>
      </c>
      <c r="N91" s="103"/>
      <c r="O91" s="103"/>
      <c r="P91" s="103"/>
      <c r="Q91" s="103"/>
      <c r="R91" s="103"/>
      <c r="S91" s="103"/>
      <c r="T91" s="103"/>
      <c r="U91" s="103">
        <v>1985</v>
      </c>
      <c r="V91" s="103"/>
      <c r="W91" s="103">
        <v>949</v>
      </c>
      <c r="X91" s="103"/>
      <c r="Y91" s="103">
        <v>18</v>
      </c>
      <c r="Z91" s="103"/>
      <c r="AA91" s="103">
        <v>412</v>
      </c>
      <c r="AB91" s="103"/>
      <c r="AC91" s="103">
        <v>98</v>
      </c>
      <c r="AD91" s="103"/>
      <c r="AE91" s="103"/>
      <c r="AF91" s="103"/>
      <c r="AG91" s="103"/>
      <c r="AH91" s="103"/>
      <c r="AI91" s="103"/>
      <c r="AJ91" s="103">
        <v>200</v>
      </c>
      <c r="AK91" s="103"/>
      <c r="AL91" s="103"/>
      <c r="AM91" s="103">
        <v>1964</v>
      </c>
      <c r="AN91" s="103">
        <v>18</v>
      </c>
      <c r="AO91" s="103"/>
      <c r="AP91" s="103">
        <v>118</v>
      </c>
      <c r="AQ91" s="103">
        <v>889</v>
      </c>
      <c r="AR91" s="103">
        <v>673</v>
      </c>
      <c r="AS91" s="103"/>
      <c r="AT91" s="103"/>
      <c r="AU91" s="103"/>
      <c r="AV91" s="103"/>
      <c r="AW91" s="104" t="str">
        <f>HYPERLINK("http://www.openstreetmap.org/?mlat=33.3574&amp;mlon=43.7928&amp;zoom=12#map=12/33.3574/43.7928","Maplink1")</f>
        <v>Maplink1</v>
      </c>
      <c r="AX91" s="104" t="str">
        <f>HYPERLINK("https://www.google.iq/maps/search/+33.3574,43.7928/@33.3574,43.7928,14z?hl=en","Maplink2")</f>
        <v>Maplink2</v>
      </c>
      <c r="AY91" s="104" t="str">
        <f>HYPERLINK("http://www.bing.com/maps/?lvl=14&amp;sty=h&amp;cp=33.3574~43.7928&amp;sp=point.33.3574_43.7928","Maplink3")</f>
        <v>Maplink3</v>
      </c>
    </row>
    <row r="92" spans="1:51" x14ac:dyDescent="0.2">
      <c r="A92" s="102">
        <v>31877</v>
      </c>
      <c r="B92" s="103" t="s">
        <v>29</v>
      </c>
      <c r="C92" s="103" t="s">
        <v>80</v>
      </c>
      <c r="D92" s="103" t="s">
        <v>378</v>
      </c>
      <c r="E92" s="103" t="s">
        <v>379</v>
      </c>
      <c r="F92" s="103">
        <v>33.164023992799997</v>
      </c>
      <c r="G92" s="103">
        <v>43.8637221794</v>
      </c>
      <c r="H92" s="102">
        <v>274</v>
      </c>
      <c r="I92" s="102">
        <v>1644</v>
      </c>
      <c r="J92" s="103"/>
      <c r="K92" s="103"/>
      <c r="L92" s="103"/>
      <c r="M92" s="103">
        <v>274</v>
      </c>
      <c r="N92" s="103"/>
      <c r="O92" s="103"/>
      <c r="P92" s="103"/>
      <c r="Q92" s="103"/>
      <c r="R92" s="103"/>
      <c r="S92" s="103"/>
      <c r="T92" s="103"/>
      <c r="U92" s="103"/>
      <c r="V92" s="103"/>
      <c r="W92" s="103">
        <v>99</v>
      </c>
      <c r="X92" s="103"/>
      <c r="Y92" s="103"/>
      <c r="Z92" s="103"/>
      <c r="AA92" s="103"/>
      <c r="AB92" s="103"/>
      <c r="AC92" s="103">
        <v>175</v>
      </c>
      <c r="AD92" s="103"/>
      <c r="AE92" s="103"/>
      <c r="AF92" s="103"/>
      <c r="AG92" s="103"/>
      <c r="AH92" s="103"/>
      <c r="AI92" s="103"/>
      <c r="AJ92" s="103"/>
      <c r="AK92" s="103"/>
      <c r="AL92" s="103"/>
      <c r="AM92" s="103">
        <v>99</v>
      </c>
      <c r="AN92" s="103"/>
      <c r="AO92" s="103"/>
      <c r="AP92" s="103">
        <v>175</v>
      </c>
      <c r="AQ92" s="103"/>
      <c r="AR92" s="103"/>
      <c r="AS92" s="103"/>
      <c r="AT92" s="103"/>
      <c r="AU92" s="103"/>
      <c r="AV92" s="103"/>
      <c r="AW92" s="104" t="str">
        <f>HYPERLINK("http://www.openstreetmap.org/?mlat=33.164&amp;mlon=43.8637&amp;zoom=12#map=12/33.164/43.8637","Maplink1")</f>
        <v>Maplink1</v>
      </c>
      <c r="AX92" s="104" t="str">
        <f>HYPERLINK("https://www.google.iq/maps/search/+33.164,43.8637/@33.164,43.8637,14z?hl=en","Maplink2")</f>
        <v>Maplink2</v>
      </c>
      <c r="AY92" s="104" t="str">
        <f>HYPERLINK("http://www.bing.com/maps/?lvl=14&amp;sty=h&amp;cp=33.164~43.8637&amp;sp=point.33.164_43.8637","Maplink3")</f>
        <v>Maplink3</v>
      </c>
    </row>
    <row r="93" spans="1:51" x14ac:dyDescent="0.2">
      <c r="A93" s="102">
        <v>177</v>
      </c>
      <c r="B93" s="103" t="s">
        <v>29</v>
      </c>
      <c r="C93" s="103" t="s">
        <v>80</v>
      </c>
      <c r="D93" s="103" t="s">
        <v>342</v>
      </c>
      <c r="E93" s="103" t="s">
        <v>343</v>
      </c>
      <c r="F93" s="103">
        <v>33.352518509600003</v>
      </c>
      <c r="G93" s="103">
        <v>43.769667958799999</v>
      </c>
      <c r="H93" s="102">
        <v>2436</v>
      </c>
      <c r="I93" s="102">
        <v>14616</v>
      </c>
      <c r="J93" s="103"/>
      <c r="K93" s="103"/>
      <c r="L93" s="103"/>
      <c r="M93" s="103">
        <v>2436</v>
      </c>
      <c r="N93" s="103"/>
      <c r="O93" s="103"/>
      <c r="P93" s="103"/>
      <c r="Q93" s="103"/>
      <c r="R93" s="103"/>
      <c r="S93" s="103"/>
      <c r="T93" s="103"/>
      <c r="U93" s="103">
        <v>1365</v>
      </c>
      <c r="V93" s="103"/>
      <c r="W93" s="103">
        <v>369</v>
      </c>
      <c r="X93" s="103"/>
      <c r="Y93" s="103"/>
      <c r="Z93" s="103"/>
      <c r="AA93" s="103">
        <v>456</v>
      </c>
      <c r="AB93" s="103"/>
      <c r="AC93" s="103">
        <v>56</v>
      </c>
      <c r="AD93" s="103"/>
      <c r="AE93" s="103"/>
      <c r="AF93" s="103"/>
      <c r="AG93" s="103"/>
      <c r="AH93" s="103"/>
      <c r="AI93" s="103"/>
      <c r="AJ93" s="103">
        <v>190</v>
      </c>
      <c r="AK93" s="103"/>
      <c r="AL93" s="103"/>
      <c r="AM93" s="103">
        <v>1312</v>
      </c>
      <c r="AN93" s="103">
        <v>138</v>
      </c>
      <c r="AO93" s="103"/>
      <c r="AP93" s="103">
        <v>106</v>
      </c>
      <c r="AQ93" s="103">
        <v>784</v>
      </c>
      <c r="AR93" s="103">
        <v>96</v>
      </c>
      <c r="AS93" s="103"/>
      <c r="AT93" s="103"/>
      <c r="AU93" s="103"/>
      <c r="AV93" s="103"/>
      <c r="AW93" s="104" t="str">
        <f>HYPERLINK("http://www.openstreetmap.org/?mlat=33.3525&amp;mlon=43.7697&amp;zoom=12#map=12/33.3525/43.7697","Maplink1")</f>
        <v>Maplink1</v>
      </c>
      <c r="AX93" s="104" t="str">
        <f>HYPERLINK("https://www.google.iq/maps/search/+33.3525,43.7697/@33.3525,43.7697,14z?hl=en","Maplink2")</f>
        <v>Maplink2</v>
      </c>
      <c r="AY93" s="104" t="str">
        <f>HYPERLINK("http://www.bing.com/maps/?lvl=14&amp;sty=h&amp;cp=33.3525~43.7697&amp;sp=point.33.3525_43.7697","Maplink3")</f>
        <v>Maplink3</v>
      </c>
    </row>
    <row r="94" spans="1:51" x14ac:dyDescent="0.2">
      <c r="A94" s="102">
        <v>299</v>
      </c>
      <c r="B94" s="103" t="s">
        <v>29</v>
      </c>
      <c r="C94" s="103" t="s">
        <v>80</v>
      </c>
      <c r="D94" s="103" t="s">
        <v>344</v>
      </c>
      <c r="E94" s="103" t="s">
        <v>345</v>
      </c>
      <c r="F94" s="103">
        <v>33.3639344479</v>
      </c>
      <c r="G94" s="103">
        <v>43.767577679799999</v>
      </c>
      <c r="H94" s="102">
        <v>2838</v>
      </c>
      <c r="I94" s="102">
        <v>17028</v>
      </c>
      <c r="J94" s="103"/>
      <c r="K94" s="103"/>
      <c r="L94" s="103"/>
      <c r="M94" s="103">
        <v>2838</v>
      </c>
      <c r="N94" s="103"/>
      <c r="O94" s="103"/>
      <c r="P94" s="103"/>
      <c r="Q94" s="103"/>
      <c r="R94" s="103"/>
      <c r="S94" s="103"/>
      <c r="T94" s="103"/>
      <c r="U94" s="103">
        <v>1376</v>
      </c>
      <c r="V94" s="103"/>
      <c r="W94" s="103">
        <v>622</v>
      </c>
      <c r="X94" s="103"/>
      <c r="Y94" s="103"/>
      <c r="Z94" s="103"/>
      <c r="AA94" s="103">
        <v>384</v>
      </c>
      <c r="AB94" s="103"/>
      <c r="AC94" s="103">
        <v>198</v>
      </c>
      <c r="AD94" s="103"/>
      <c r="AE94" s="103"/>
      <c r="AF94" s="103"/>
      <c r="AG94" s="103"/>
      <c r="AH94" s="103"/>
      <c r="AI94" s="103"/>
      <c r="AJ94" s="103">
        <v>258</v>
      </c>
      <c r="AK94" s="103"/>
      <c r="AL94" s="103"/>
      <c r="AM94" s="103">
        <v>1450</v>
      </c>
      <c r="AN94" s="103">
        <v>146</v>
      </c>
      <c r="AO94" s="103"/>
      <c r="AP94" s="103">
        <v>273</v>
      </c>
      <c r="AQ94" s="103">
        <v>640</v>
      </c>
      <c r="AR94" s="103">
        <v>329</v>
      </c>
      <c r="AS94" s="103"/>
      <c r="AT94" s="103"/>
      <c r="AU94" s="103"/>
      <c r="AV94" s="103"/>
      <c r="AW94" s="104" t="str">
        <f>HYPERLINK("http://www.openstreetmap.org/?mlat=33.3639&amp;mlon=43.7676&amp;zoom=12#map=12/33.3639/43.7676","Maplink1")</f>
        <v>Maplink1</v>
      </c>
      <c r="AX94" s="104" t="str">
        <f>HYPERLINK("https://www.google.iq/maps/search/+33.3639,43.7676/@33.3639,43.7676,14z?hl=en","Maplink2")</f>
        <v>Maplink2</v>
      </c>
      <c r="AY94" s="104" t="str">
        <f>HYPERLINK("http://www.bing.com/maps/?lvl=14&amp;sty=h&amp;cp=33.3639~43.7676&amp;sp=point.33.3639_43.7676","Maplink3")</f>
        <v>Maplink3</v>
      </c>
    </row>
    <row r="95" spans="1:51" x14ac:dyDescent="0.2">
      <c r="A95" s="102">
        <v>33467</v>
      </c>
      <c r="B95" s="103" t="s">
        <v>29</v>
      </c>
      <c r="C95" s="103" t="s">
        <v>80</v>
      </c>
      <c r="D95" s="103" t="s">
        <v>346</v>
      </c>
      <c r="E95" s="103" t="s">
        <v>347</v>
      </c>
      <c r="F95" s="103">
        <v>33.324309999999997</v>
      </c>
      <c r="G95" s="103">
        <v>43.796240603599998</v>
      </c>
      <c r="H95" s="102">
        <v>570</v>
      </c>
      <c r="I95" s="102">
        <v>3420</v>
      </c>
      <c r="J95" s="103"/>
      <c r="K95" s="103"/>
      <c r="L95" s="103"/>
      <c r="M95" s="103">
        <v>503</v>
      </c>
      <c r="N95" s="103">
        <v>67</v>
      </c>
      <c r="O95" s="103"/>
      <c r="P95" s="103"/>
      <c r="Q95" s="103"/>
      <c r="R95" s="103"/>
      <c r="S95" s="103"/>
      <c r="T95" s="103"/>
      <c r="U95" s="103">
        <v>111</v>
      </c>
      <c r="V95" s="103"/>
      <c r="W95" s="103">
        <v>334</v>
      </c>
      <c r="X95" s="103"/>
      <c r="Y95" s="103">
        <v>17</v>
      </c>
      <c r="Z95" s="103"/>
      <c r="AA95" s="103">
        <v>77</v>
      </c>
      <c r="AB95" s="103"/>
      <c r="AC95" s="103"/>
      <c r="AD95" s="103"/>
      <c r="AE95" s="103"/>
      <c r="AF95" s="103"/>
      <c r="AG95" s="103"/>
      <c r="AH95" s="103"/>
      <c r="AI95" s="103"/>
      <c r="AJ95" s="103">
        <v>31</v>
      </c>
      <c r="AK95" s="103"/>
      <c r="AL95" s="103"/>
      <c r="AM95" s="103">
        <v>280</v>
      </c>
      <c r="AN95" s="103"/>
      <c r="AO95" s="103"/>
      <c r="AP95" s="103">
        <v>230</v>
      </c>
      <c r="AQ95" s="103"/>
      <c r="AR95" s="103">
        <v>60</v>
      </c>
      <c r="AS95" s="103"/>
      <c r="AT95" s="103"/>
      <c r="AU95" s="103"/>
      <c r="AV95" s="103"/>
      <c r="AW95" s="104" t="str">
        <f>HYPERLINK("http://www.openstreetmap.org/?mlat=33.3243&amp;mlon=43.7962&amp;zoom=12#map=12/33.3243/43.7962","Maplink1")</f>
        <v>Maplink1</v>
      </c>
      <c r="AX95" s="104" t="str">
        <f>HYPERLINK("https://www.google.iq/maps/search/+33.3243,43.7962/@33.3243,43.7962,14z?hl=en","Maplink2")</f>
        <v>Maplink2</v>
      </c>
      <c r="AY95" s="104" t="str">
        <f>HYPERLINK("http://www.bing.com/maps/?lvl=14&amp;sty=h&amp;cp=33.3243~43.7962&amp;sp=point.33.3243_43.7962","Maplink3")</f>
        <v>Maplink3</v>
      </c>
    </row>
    <row r="96" spans="1:51" x14ac:dyDescent="0.2">
      <c r="A96" s="102">
        <v>324</v>
      </c>
      <c r="B96" s="103" t="s">
        <v>29</v>
      </c>
      <c r="C96" s="103" t="s">
        <v>80</v>
      </c>
      <c r="D96" s="103" t="s">
        <v>338</v>
      </c>
      <c r="E96" s="103" t="s">
        <v>339</v>
      </c>
      <c r="F96" s="103">
        <v>33.3027930234</v>
      </c>
      <c r="G96" s="103">
        <v>43.753016461100003</v>
      </c>
      <c r="H96" s="102">
        <v>871</v>
      </c>
      <c r="I96" s="102">
        <v>5226</v>
      </c>
      <c r="J96" s="103"/>
      <c r="K96" s="103"/>
      <c r="L96" s="103"/>
      <c r="M96" s="103">
        <v>832</v>
      </c>
      <c r="N96" s="103">
        <v>39</v>
      </c>
      <c r="O96" s="103"/>
      <c r="P96" s="103"/>
      <c r="Q96" s="103"/>
      <c r="R96" s="103"/>
      <c r="S96" s="103"/>
      <c r="T96" s="103"/>
      <c r="U96" s="103">
        <v>442</v>
      </c>
      <c r="V96" s="103"/>
      <c r="W96" s="103"/>
      <c r="X96" s="103"/>
      <c r="Y96" s="103"/>
      <c r="Z96" s="103"/>
      <c r="AA96" s="103">
        <v>160</v>
      </c>
      <c r="AB96" s="103"/>
      <c r="AC96" s="103">
        <v>140</v>
      </c>
      <c r="AD96" s="103"/>
      <c r="AE96" s="103"/>
      <c r="AF96" s="103"/>
      <c r="AG96" s="103"/>
      <c r="AH96" s="103"/>
      <c r="AI96" s="103"/>
      <c r="AJ96" s="103">
        <v>129</v>
      </c>
      <c r="AK96" s="103"/>
      <c r="AL96" s="103"/>
      <c r="AM96" s="103">
        <v>806</v>
      </c>
      <c r="AN96" s="103"/>
      <c r="AO96" s="103"/>
      <c r="AP96" s="103">
        <v>65</v>
      </c>
      <c r="AQ96" s="103"/>
      <c r="AR96" s="103"/>
      <c r="AS96" s="103"/>
      <c r="AT96" s="103"/>
      <c r="AU96" s="103"/>
      <c r="AV96" s="103"/>
      <c r="AW96" s="104" t="str">
        <f>HYPERLINK("http://www.openstreetmap.org/?mlat=33.3028&amp;mlon=43.753&amp;zoom=12#map=12/33.3028/43.753","Maplink1")</f>
        <v>Maplink1</v>
      </c>
      <c r="AX96" s="104" t="str">
        <f>HYPERLINK("https://www.google.iq/maps/search/+33.3028,43.753/@33.3028,43.753,14z?hl=en","Maplink2")</f>
        <v>Maplink2</v>
      </c>
      <c r="AY96" s="104" t="str">
        <f>HYPERLINK("http://www.bing.com/maps/?lvl=14&amp;sty=h&amp;cp=33.3028~43.753&amp;sp=point.33.3028_43.753","Maplink3")</f>
        <v>Maplink3</v>
      </c>
    </row>
    <row r="97" spans="1:51" x14ac:dyDescent="0.2">
      <c r="A97" s="102">
        <v>143</v>
      </c>
      <c r="B97" s="103" t="s">
        <v>29</v>
      </c>
      <c r="C97" s="103" t="s">
        <v>80</v>
      </c>
      <c r="D97" s="103" t="s">
        <v>340</v>
      </c>
      <c r="E97" s="103" t="s">
        <v>341</v>
      </c>
      <c r="F97" s="103">
        <v>33.393352786100003</v>
      </c>
      <c r="G97" s="103">
        <v>43.884385786999999</v>
      </c>
      <c r="H97" s="102">
        <v>1904</v>
      </c>
      <c r="I97" s="102">
        <v>11424</v>
      </c>
      <c r="J97" s="103"/>
      <c r="K97" s="103"/>
      <c r="L97" s="103">
        <v>105</v>
      </c>
      <c r="M97" s="103">
        <v>1799</v>
      </c>
      <c r="N97" s="103"/>
      <c r="O97" s="103"/>
      <c r="P97" s="103"/>
      <c r="Q97" s="103"/>
      <c r="R97" s="103"/>
      <c r="S97" s="103"/>
      <c r="T97" s="103"/>
      <c r="U97" s="103">
        <v>1328</v>
      </c>
      <c r="V97" s="103"/>
      <c r="W97" s="103">
        <v>493</v>
      </c>
      <c r="X97" s="103"/>
      <c r="Y97" s="103"/>
      <c r="Z97" s="103"/>
      <c r="AA97" s="103">
        <v>83</v>
      </c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>
        <v>469</v>
      </c>
      <c r="AN97" s="103">
        <v>160</v>
      </c>
      <c r="AO97" s="103"/>
      <c r="AP97" s="103">
        <v>313</v>
      </c>
      <c r="AQ97" s="103">
        <v>962</v>
      </c>
      <c r="AR97" s="103"/>
      <c r="AS97" s="103"/>
      <c r="AT97" s="103"/>
      <c r="AU97" s="103"/>
      <c r="AV97" s="103"/>
      <c r="AW97" s="104" t="str">
        <f>HYPERLINK("http://www.openstreetmap.org/?mlat=33.3934&amp;mlon=43.8844&amp;zoom=12#map=12/33.3934/43.8844","Maplink1")</f>
        <v>Maplink1</v>
      </c>
      <c r="AX97" s="104" t="str">
        <f>HYPERLINK("https://www.google.iq/maps/search/+33.3934,43.8844/@33.3934,43.8844,14z?hl=en","Maplink2")</f>
        <v>Maplink2</v>
      </c>
      <c r="AY97" s="104" t="str">
        <f>HYPERLINK("http://www.bing.com/maps/?lvl=14&amp;sty=h&amp;cp=33.3934~43.8844&amp;sp=point.33.3934_43.8844","Maplink3")</f>
        <v>Maplink3</v>
      </c>
    </row>
    <row r="98" spans="1:51" x14ac:dyDescent="0.2">
      <c r="A98" s="102">
        <v>22524</v>
      </c>
      <c r="B98" s="103" t="s">
        <v>29</v>
      </c>
      <c r="C98" s="103" t="s">
        <v>80</v>
      </c>
      <c r="D98" s="103" t="s">
        <v>380</v>
      </c>
      <c r="E98" s="103" t="s">
        <v>381</v>
      </c>
      <c r="F98" s="103">
        <v>33.425445922000002</v>
      </c>
      <c r="G98" s="103">
        <v>43.711836518200002</v>
      </c>
      <c r="H98" s="102">
        <v>586</v>
      </c>
      <c r="I98" s="102">
        <v>3516</v>
      </c>
      <c r="J98" s="103"/>
      <c r="K98" s="103"/>
      <c r="L98" s="103"/>
      <c r="M98" s="103">
        <v>539</v>
      </c>
      <c r="N98" s="103">
        <v>47</v>
      </c>
      <c r="O98" s="103"/>
      <c r="P98" s="103"/>
      <c r="Q98" s="103"/>
      <c r="R98" s="103"/>
      <c r="S98" s="103"/>
      <c r="T98" s="103"/>
      <c r="U98" s="103">
        <v>232</v>
      </c>
      <c r="V98" s="103"/>
      <c r="W98" s="103">
        <v>169</v>
      </c>
      <c r="X98" s="103"/>
      <c r="Y98" s="103"/>
      <c r="Z98" s="103"/>
      <c r="AA98" s="103">
        <v>120</v>
      </c>
      <c r="AB98" s="103"/>
      <c r="AC98" s="103">
        <v>65</v>
      </c>
      <c r="AD98" s="103"/>
      <c r="AE98" s="103"/>
      <c r="AF98" s="103"/>
      <c r="AG98" s="103"/>
      <c r="AH98" s="103"/>
      <c r="AI98" s="103"/>
      <c r="AJ98" s="103"/>
      <c r="AK98" s="103"/>
      <c r="AL98" s="103"/>
      <c r="AM98" s="103">
        <v>349</v>
      </c>
      <c r="AN98" s="103"/>
      <c r="AO98" s="103"/>
      <c r="AP98" s="103">
        <v>149</v>
      </c>
      <c r="AQ98" s="103">
        <v>27</v>
      </c>
      <c r="AR98" s="103">
        <v>56</v>
      </c>
      <c r="AS98" s="103">
        <v>5</v>
      </c>
      <c r="AT98" s="103"/>
      <c r="AU98" s="103"/>
      <c r="AV98" s="103"/>
      <c r="AW98" s="104" t="str">
        <f>HYPERLINK("http://www.openstreetmap.org/?mlat=33.4254&amp;mlon=43.7118&amp;zoom=12#map=12/33.4254/43.7118","Maplink1")</f>
        <v>Maplink1</v>
      </c>
      <c r="AX98" s="104" t="str">
        <f>HYPERLINK("https://www.google.iq/maps/search/+33.4254,43.7118/@33.4254,43.7118,14z?hl=en","Maplink2")</f>
        <v>Maplink2</v>
      </c>
      <c r="AY98" s="104" t="str">
        <f>HYPERLINK("http://www.bing.com/maps/?lvl=14&amp;sty=h&amp;cp=33.4254~43.7118&amp;sp=point.33.4254_43.7118","Maplink3")</f>
        <v>Maplink3</v>
      </c>
    </row>
    <row r="99" spans="1:51" x14ac:dyDescent="0.2">
      <c r="A99" s="102">
        <v>22525</v>
      </c>
      <c r="B99" s="103" t="s">
        <v>29</v>
      </c>
      <c r="C99" s="103" t="s">
        <v>80</v>
      </c>
      <c r="D99" s="103" t="s">
        <v>322</v>
      </c>
      <c r="E99" s="103" t="s">
        <v>323</v>
      </c>
      <c r="F99" s="103">
        <v>33.400391372800001</v>
      </c>
      <c r="G99" s="103">
        <v>43.656026799400003</v>
      </c>
      <c r="H99" s="102">
        <v>505</v>
      </c>
      <c r="I99" s="102">
        <v>3030</v>
      </c>
      <c r="J99" s="103"/>
      <c r="K99" s="103"/>
      <c r="L99" s="103"/>
      <c r="M99" s="103">
        <v>505</v>
      </c>
      <c r="N99" s="103"/>
      <c r="O99" s="103"/>
      <c r="P99" s="103"/>
      <c r="Q99" s="103"/>
      <c r="R99" s="103"/>
      <c r="S99" s="103"/>
      <c r="T99" s="103"/>
      <c r="U99" s="103">
        <v>203</v>
      </c>
      <c r="V99" s="103"/>
      <c r="W99" s="103">
        <v>88</v>
      </c>
      <c r="X99" s="103"/>
      <c r="Y99" s="103"/>
      <c r="Z99" s="103"/>
      <c r="AA99" s="103">
        <v>109</v>
      </c>
      <c r="AB99" s="103"/>
      <c r="AC99" s="103">
        <v>105</v>
      </c>
      <c r="AD99" s="103"/>
      <c r="AE99" s="103"/>
      <c r="AF99" s="103"/>
      <c r="AG99" s="103"/>
      <c r="AH99" s="103"/>
      <c r="AI99" s="103"/>
      <c r="AJ99" s="103"/>
      <c r="AK99" s="103"/>
      <c r="AL99" s="103"/>
      <c r="AM99" s="103">
        <v>106</v>
      </c>
      <c r="AN99" s="103">
        <v>202</v>
      </c>
      <c r="AO99" s="103"/>
      <c r="AP99" s="103">
        <v>109</v>
      </c>
      <c r="AQ99" s="103">
        <v>88</v>
      </c>
      <c r="AR99" s="103"/>
      <c r="AS99" s="103"/>
      <c r="AT99" s="103"/>
      <c r="AU99" s="103"/>
      <c r="AV99" s="103"/>
      <c r="AW99" s="104" t="str">
        <f>HYPERLINK("http://www.openstreetmap.org/?mlat=33.4004&amp;mlon=43.656&amp;zoom=12#map=12/33.4004/43.656","Maplink1")</f>
        <v>Maplink1</v>
      </c>
      <c r="AX99" s="104" t="str">
        <f>HYPERLINK("https://www.google.iq/maps/search/+33.4004,43.656/@33.4004,43.656,14z?hl=en","Maplink2")</f>
        <v>Maplink2</v>
      </c>
      <c r="AY99" s="104" t="str">
        <f>HYPERLINK("http://www.bing.com/maps/?lvl=14&amp;sty=h&amp;cp=33.4004~43.656&amp;sp=point.33.4004_43.656","Maplink3")</f>
        <v>Maplink3</v>
      </c>
    </row>
    <row r="100" spans="1:51" x14ac:dyDescent="0.2">
      <c r="A100" s="102">
        <v>291</v>
      </c>
      <c r="B100" s="103" t="s">
        <v>29</v>
      </c>
      <c r="C100" s="103" t="s">
        <v>80</v>
      </c>
      <c r="D100" s="103" t="s">
        <v>319</v>
      </c>
      <c r="E100" s="103" t="s">
        <v>320</v>
      </c>
      <c r="F100" s="103">
        <v>33.407612331199999</v>
      </c>
      <c r="G100" s="103">
        <v>43.938961999999997</v>
      </c>
      <c r="H100" s="102">
        <v>138</v>
      </c>
      <c r="I100" s="102">
        <v>828</v>
      </c>
      <c r="J100" s="103"/>
      <c r="K100" s="103"/>
      <c r="L100" s="103"/>
      <c r="M100" s="103">
        <v>122</v>
      </c>
      <c r="N100" s="103">
        <v>16</v>
      </c>
      <c r="O100" s="103"/>
      <c r="P100" s="103"/>
      <c r="Q100" s="103"/>
      <c r="R100" s="103"/>
      <c r="S100" s="103"/>
      <c r="T100" s="103"/>
      <c r="U100" s="103">
        <v>88</v>
      </c>
      <c r="V100" s="103"/>
      <c r="W100" s="103">
        <v>31</v>
      </c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>
        <v>19</v>
      </c>
      <c r="AJ100" s="103"/>
      <c r="AK100" s="103"/>
      <c r="AL100" s="103"/>
      <c r="AM100" s="103">
        <v>19</v>
      </c>
      <c r="AN100" s="103">
        <v>16</v>
      </c>
      <c r="AO100" s="103"/>
      <c r="AP100" s="103">
        <v>31</v>
      </c>
      <c r="AQ100" s="103">
        <v>72</v>
      </c>
      <c r="AR100" s="103"/>
      <c r="AS100" s="103"/>
      <c r="AT100" s="103"/>
      <c r="AU100" s="103"/>
      <c r="AV100" s="103"/>
      <c r="AW100" s="104" t="str">
        <f>HYPERLINK("http://www.openstreetmap.org/?mlat=33.4076&amp;mlon=43.939&amp;zoom=12#map=12/33.4076/43.939","Maplink1")</f>
        <v>Maplink1</v>
      </c>
      <c r="AX100" s="104" t="str">
        <f>HYPERLINK("https://www.google.iq/maps/search/+33.4076,43.939/@33.4076,43.939,14z?hl=en","Maplink2")</f>
        <v>Maplink2</v>
      </c>
      <c r="AY100" s="104" t="str">
        <f>HYPERLINK("http://www.bing.com/maps/?lvl=14&amp;sty=h&amp;cp=33.4076~43.939&amp;sp=point.33.4076_43.939","Maplink3")</f>
        <v>Maplink3</v>
      </c>
    </row>
    <row r="101" spans="1:51" x14ac:dyDescent="0.2">
      <c r="A101" s="102">
        <v>22134</v>
      </c>
      <c r="B101" s="103" t="s">
        <v>29</v>
      </c>
      <c r="C101" s="103" t="s">
        <v>80</v>
      </c>
      <c r="D101" s="103" t="s">
        <v>317</v>
      </c>
      <c r="E101" s="103" t="s">
        <v>318</v>
      </c>
      <c r="F101" s="103">
        <v>33.432543547800002</v>
      </c>
      <c r="G101" s="103">
        <v>43.948946340500001</v>
      </c>
      <c r="H101" s="102">
        <v>2121</v>
      </c>
      <c r="I101" s="102">
        <v>12726</v>
      </c>
      <c r="J101" s="103"/>
      <c r="K101" s="103"/>
      <c r="L101" s="103">
        <v>82</v>
      </c>
      <c r="M101" s="103">
        <v>2011</v>
      </c>
      <c r="N101" s="103">
        <v>28</v>
      </c>
      <c r="O101" s="103"/>
      <c r="P101" s="103"/>
      <c r="Q101" s="103"/>
      <c r="R101" s="103"/>
      <c r="S101" s="103"/>
      <c r="T101" s="103"/>
      <c r="U101" s="103">
        <v>1295</v>
      </c>
      <c r="V101" s="103"/>
      <c r="W101" s="103">
        <v>521</v>
      </c>
      <c r="X101" s="103"/>
      <c r="Y101" s="103"/>
      <c r="Z101" s="103"/>
      <c r="AA101" s="103">
        <v>62</v>
      </c>
      <c r="AB101" s="103"/>
      <c r="AC101" s="103">
        <v>243</v>
      </c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>
        <v>603</v>
      </c>
      <c r="AN101" s="103">
        <v>28</v>
      </c>
      <c r="AO101" s="103"/>
      <c r="AP101" s="103">
        <v>270</v>
      </c>
      <c r="AQ101" s="103">
        <v>1220</v>
      </c>
      <c r="AR101" s="103"/>
      <c r="AS101" s="103"/>
      <c r="AT101" s="103"/>
      <c r="AU101" s="103"/>
      <c r="AV101" s="103"/>
      <c r="AW101" s="104" t="str">
        <f>HYPERLINK("http://www.openstreetmap.org/?mlat=33.4325&amp;mlon=43.9489&amp;zoom=12#map=12/33.4325/43.9489","Maplink1")</f>
        <v>Maplink1</v>
      </c>
      <c r="AX101" s="104" t="str">
        <f>HYPERLINK("https://www.google.iq/maps/search/+33.4325,43.9489/@33.4325,43.9489,14z?hl=en","Maplink2")</f>
        <v>Maplink2</v>
      </c>
      <c r="AY101" s="104" t="str">
        <f>HYPERLINK("http://www.bing.com/maps/?lvl=14&amp;sty=h&amp;cp=33.4325~43.9489&amp;sp=point.33.4325_43.9489","Maplink3")</f>
        <v>Maplink3</v>
      </c>
    </row>
    <row r="102" spans="1:51" x14ac:dyDescent="0.2">
      <c r="A102" s="102">
        <v>178</v>
      </c>
      <c r="B102" s="103" t="s">
        <v>29</v>
      </c>
      <c r="C102" s="103" t="s">
        <v>80</v>
      </c>
      <c r="D102" s="103" t="s">
        <v>382</v>
      </c>
      <c r="E102" s="103" t="s">
        <v>383</v>
      </c>
      <c r="F102" s="103">
        <v>33.358044379299997</v>
      </c>
      <c r="G102" s="103">
        <v>43.768637279899998</v>
      </c>
      <c r="H102" s="102">
        <v>2146</v>
      </c>
      <c r="I102" s="102">
        <v>12876</v>
      </c>
      <c r="J102" s="103"/>
      <c r="K102" s="103"/>
      <c r="L102" s="103"/>
      <c r="M102" s="103">
        <v>2107</v>
      </c>
      <c r="N102" s="103">
        <v>39</v>
      </c>
      <c r="O102" s="103"/>
      <c r="P102" s="103"/>
      <c r="Q102" s="103"/>
      <c r="R102" s="103"/>
      <c r="S102" s="103"/>
      <c r="T102" s="103"/>
      <c r="U102" s="103">
        <v>1173</v>
      </c>
      <c r="V102" s="103"/>
      <c r="W102" s="103">
        <v>444</v>
      </c>
      <c r="X102" s="103"/>
      <c r="Y102" s="103"/>
      <c r="Z102" s="103"/>
      <c r="AA102" s="103">
        <v>340</v>
      </c>
      <c r="AB102" s="103"/>
      <c r="AC102" s="103">
        <v>106</v>
      </c>
      <c r="AD102" s="103"/>
      <c r="AE102" s="103"/>
      <c r="AF102" s="103"/>
      <c r="AG102" s="103"/>
      <c r="AH102" s="103"/>
      <c r="AI102" s="103"/>
      <c r="AJ102" s="103">
        <v>83</v>
      </c>
      <c r="AK102" s="103"/>
      <c r="AL102" s="103"/>
      <c r="AM102" s="103">
        <v>1228</v>
      </c>
      <c r="AN102" s="103"/>
      <c r="AO102" s="103"/>
      <c r="AP102" s="103">
        <v>243</v>
      </c>
      <c r="AQ102" s="103">
        <v>140</v>
      </c>
      <c r="AR102" s="103">
        <v>535</v>
      </c>
      <c r="AS102" s="103"/>
      <c r="AT102" s="103"/>
      <c r="AU102" s="103"/>
      <c r="AV102" s="103"/>
      <c r="AW102" s="104" t="str">
        <f>HYPERLINK("http://www.openstreetmap.org/?mlat=33.358&amp;mlon=43.7686&amp;zoom=12#map=12/33.358/43.7686","Maplink1")</f>
        <v>Maplink1</v>
      </c>
      <c r="AX102" s="104" t="str">
        <f>HYPERLINK("https://www.google.iq/maps/search/+33.358,43.7686/@33.358,43.7686,14z?hl=en","Maplink2")</f>
        <v>Maplink2</v>
      </c>
      <c r="AY102" s="104" t="str">
        <f>HYPERLINK("http://www.bing.com/maps/?lvl=14&amp;sty=h&amp;cp=33.358~43.7686&amp;sp=point.33.358_43.7686","Maplink3")</f>
        <v>Maplink3</v>
      </c>
    </row>
    <row r="103" spans="1:51" x14ac:dyDescent="0.2">
      <c r="A103" s="102">
        <v>47</v>
      </c>
      <c r="B103" s="103" t="s">
        <v>29</v>
      </c>
      <c r="C103" s="103" t="s">
        <v>80</v>
      </c>
      <c r="D103" s="103" t="s">
        <v>384</v>
      </c>
      <c r="E103" s="103" t="s">
        <v>385</v>
      </c>
      <c r="F103" s="103">
        <v>33.384213703699999</v>
      </c>
      <c r="G103" s="103">
        <v>43.980381031599997</v>
      </c>
      <c r="H103" s="102">
        <v>878</v>
      </c>
      <c r="I103" s="102">
        <v>5268</v>
      </c>
      <c r="J103" s="103"/>
      <c r="K103" s="103"/>
      <c r="L103" s="103"/>
      <c r="M103" s="103">
        <v>865</v>
      </c>
      <c r="N103" s="103">
        <v>13</v>
      </c>
      <c r="O103" s="103"/>
      <c r="P103" s="103"/>
      <c r="Q103" s="103"/>
      <c r="R103" s="103"/>
      <c r="S103" s="103"/>
      <c r="T103" s="103"/>
      <c r="U103" s="103">
        <v>224</v>
      </c>
      <c r="V103" s="103"/>
      <c r="W103" s="103">
        <v>259</v>
      </c>
      <c r="X103" s="103"/>
      <c r="Y103" s="103"/>
      <c r="Z103" s="103"/>
      <c r="AA103" s="103">
        <v>85</v>
      </c>
      <c r="AB103" s="103"/>
      <c r="AC103" s="103">
        <v>310</v>
      </c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>
        <v>13</v>
      </c>
      <c r="AN103" s="103">
        <v>104</v>
      </c>
      <c r="AO103" s="103"/>
      <c r="AP103" s="103">
        <v>240</v>
      </c>
      <c r="AQ103" s="103">
        <v>521</v>
      </c>
      <c r="AR103" s="103"/>
      <c r="AS103" s="103"/>
      <c r="AT103" s="103"/>
      <c r="AU103" s="103"/>
      <c r="AV103" s="103"/>
      <c r="AW103" s="104" t="str">
        <f>HYPERLINK("http://www.openstreetmap.org/?mlat=33.3842&amp;mlon=43.9804&amp;zoom=12#map=12/33.3842/43.9804","Maplink1")</f>
        <v>Maplink1</v>
      </c>
      <c r="AX103" s="104" t="str">
        <f>HYPERLINK("https://www.google.iq/maps/search/+33.3842,43.9804/@33.3842,43.9804,14z?hl=en","Maplink2")</f>
        <v>Maplink2</v>
      </c>
      <c r="AY103" s="104" t="str">
        <f>HYPERLINK("http://www.bing.com/maps/?lvl=14&amp;sty=h&amp;cp=33.3842~43.9804&amp;sp=point.33.3842_43.9804","Maplink3")</f>
        <v>Maplink3</v>
      </c>
    </row>
    <row r="104" spans="1:51" x14ac:dyDescent="0.2">
      <c r="A104" s="102">
        <v>146</v>
      </c>
      <c r="B104" s="103" t="s">
        <v>29</v>
      </c>
      <c r="C104" s="103" t="s">
        <v>80</v>
      </c>
      <c r="D104" s="103" t="s">
        <v>386</v>
      </c>
      <c r="E104" s="103" t="s">
        <v>387</v>
      </c>
      <c r="F104" s="103">
        <v>33.367367461299999</v>
      </c>
      <c r="G104" s="103">
        <v>43.954585835000003</v>
      </c>
      <c r="H104" s="102">
        <v>883</v>
      </c>
      <c r="I104" s="102">
        <v>5298</v>
      </c>
      <c r="J104" s="103"/>
      <c r="K104" s="103"/>
      <c r="L104" s="103"/>
      <c r="M104" s="103">
        <v>825</v>
      </c>
      <c r="N104" s="103">
        <v>58</v>
      </c>
      <c r="O104" s="103"/>
      <c r="P104" s="103"/>
      <c r="Q104" s="103"/>
      <c r="R104" s="103"/>
      <c r="S104" s="103"/>
      <c r="T104" s="103"/>
      <c r="U104" s="103">
        <v>142</v>
      </c>
      <c r="V104" s="103"/>
      <c r="W104" s="103">
        <v>445</v>
      </c>
      <c r="X104" s="103"/>
      <c r="Y104" s="103"/>
      <c r="Z104" s="103"/>
      <c r="AA104" s="103">
        <v>296</v>
      </c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>
        <v>100</v>
      </c>
      <c r="AN104" s="103">
        <v>192</v>
      </c>
      <c r="AO104" s="103"/>
      <c r="AP104" s="103">
        <v>150</v>
      </c>
      <c r="AQ104" s="103">
        <v>441</v>
      </c>
      <c r="AR104" s="103"/>
      <c r="AS104" s="103"/>
      <c r="AT104" s="103"/>
      <c r="AU104" s="103"/>
      <c r="AV104" s="103"/>
      <c r="AW104" s="104" t="str">
        <f>HYPERLINK("http://www.openstreetmap.org/?mlat=33.3674&amp;mlon=43.9546&amp;zoom=12#map=12/33.3674/43.9546","Maplink1")</f>
        <v>Maplink1</v>
      </c>
      <c r="AX104" s="104" t="str">
        <f>HYPERLINK("https://www.google.iq/maps/search/+33.3674,43.9546/@33.3674,43.9546,14z?hl=en","Maplink2")</f>
        <v>Maplink2</v>
      </c>
      <c r="AY104" s="104" t="str">
        <f>HYPERLINK("http://www.bing.com/maps/?lvl=14&amp;sty=h&amp;cp=33.3674~43.9546&amp;sp=point.33.3674_43.9546","Maplink3")</f>
        <v>Maplink3</v>
      </c>
    </row>
    <row r="105" spans="1:51" x14ac:dyDescent="0.2">
      <c r="A105" s="102">
        <v>295</v>
      </c>
      <c r="B105" s="103" t="s">
        <v>29</v>
      </c>
      <c r="C105" s="103" t="s">
        <v>80</v>
      </c>
      <c r="D105" s="103" t="s">
        <v>388</v>
      </c>
      <c r="E105" s="103" t="s">
        <v>175</v>
      </c>
      <c r="F105" s="103">
        <v>33.321339999999999</v>
      </c>
      <c r="G105" s="103">
        <v>43.802574219699999</v>
      </c>
      <c r="H105" s="102">
        <v>570</v>
      </c>
      <c r="I105" s="102">
        <v>3420</v>
      </c>
      <c r="J105" s="103"/>
      <c r="K105" s="103"/>
      <c r="L105" s="103"/>
      <c r="M105" s="103">
        <v>503</v>
      </c>
      <c r="N105" s="103">
        <v>67</v>
      </c>
      <c r="O105" s="103"/>
      <c r="P105" s="103"/>
      <c r="Q105" s="103"/>
      <c r="R105" s="103"/>
      <c r="S105" s="103"/>
      <c r="T105" s="103"/>
      <c r="U105" s="103">
        <v>111</v>
      </c>
      <c r="V105" s="103"/>
      <c r="W105" s="103">
        <v>334</v>
      </c>
      <c r="X105" s="103"/>
      <c r="Y105" s="103">
        <v>17</v>
      </c>
      <c r="Z105" s="103"/>
      <c r="AA105" s="103">
        <v>77</v>
      </c>
      <c r="AB105" s="103"/>
      <c r="AC105" s="103"/>
      <c r="AD105" s="103"/>
      <c r="AE105" s="103"/>
      <c r="AF105" s="103"/>
      <c r="AG105" s="103"/>
      <c r="AH105" s="103"/>
      <c r="AI105" s="103"/>
      <c r="AJ105" s="103">
        <v>31</v>
      </c>
      <c r="AK105" s="103"/>
      <c r="AL105" s="103"/>
      <c r="AM105" s="103">
        <v>280</v>
      </c>
      <c r="AN105" s="103"/>
      <c r="AO105" s="103"/>
      <c r="AP105" s="103">
        <v>230</v>
      </c>
      <c r="AQ105" s="103"/>
      <c r="AR105" s="103">
        <v>60</v>
      </c>
      <c r="AS105" s="103"/>
      <c r="AT105" s="103"/>
      <c r="AU105" s="103"/>
      <c r="AV105" s="103"/>
      <c r="AW105" s="104" t="str">
        <f>HYPERLINK("http://www.openstreetmap.org/?mlat=33.3213&amp;mlon=43.8026&amp;zoom=12#map=12/33.3213/43.8026","Maplink1")</f>
        <v>Maplink1</v>
      </c>
      <c r="AX105" s="104" t="str">
        <f>HYPERLINK("https://www.google.iq/maps/search/+33.3213,43.8026/@33.3213,43.8026,14z?hl=en","Maplink2")</f>
        <v>Maplink2</v>
      </c>
      <c r="AY105" s="104" t="str">
        <f>HYPERLINK("http://www.bing.com/maps/?lvl=14&amp;sty=h&amp;cp=33.3213~43.8026&amp;sp=point.33.3213_43.8026","Maplink3")</f>
        <v>Maplink3</v>
      </c>
    </row>
    <row r="106" spans="1:51" x14ac:dyDescent="0.2">
      <c r="A106" s="102">
        <v>21614</v>
      </c>
      <c r="B106" s="103" t="s">
        <v>29</v>
      </c>
      <c r="C106" s="103" t="s">
        <v>80</v>
      </c>
      <c r="D106" s="103" t="s">
        <v>315</v>
      </c>
      <c r="E106" s="103" t="s">
        <v>316</v>
      </c>
      <c r="F106" s="103">
        <v>33.440828099299999</v>
      </c>
      <c r="G106" s="103">
        <v>43.744555315600003</v>
      </c>
      <c r="H106" s="102">
        <v>696</v>
      </c>
      <c r="I106" s="102">
        <v>4176</v>
      </c>
      <c r="J106" s="103"/>
      <c r="K106" s="103"/>
      <c r="L106" s="103"/>
      <c r="M106" s="103">
        <v>696</v>
      </c>
      <c r="N106" s="103"/>
      <c r="O106" s="103"/>
      <c r="P106" s="103"/>
      <c r="Q106" s="103"/>
      <c r="R106" s="103"/>
      <c r="S106" s="103"/>
      <c r="T106" s="103"/>
      <c r="U106" s="103">
        <v>201</v>
      </c>
      <c r="V106" s="103"/>
      <c r="W106" s="103">
        <v>70</v>
      </c>
      <c r="X106" s="103"/>
      <c r="Y106" s="103"/>
      <c r="Z106" s="103"/>
      <c r="AA106" s="103">
        <v>189</v>
      </c>
      <c r="AB106" s="103"/>
      <c r="AC106" s="103">
        <v>236</v>
      </c>
      <c r="AD106" s="103"/>
      <c r="AE106" s="103"/>
      <c r="AF106" s="103"/>
      <c r="AG106" s="103"/>
      <c r="AH106" s="103"/>
      <c r="AI106" s="103"/>
      <c r="AJ106" s="103"/>
      <c r="AK106" s="103"/>
      <c r="AL106" s="103"/>
      <c r="AM106" s="103">
        <v>306</v>
      </c>
      <c r="AN106" s="103">
        <v>100</v>
      </c>
      <c r="AO106" s="103"/>
      <c r="AP106" s="103">
        <v>67</v>
      </c>
      <c r="AQ106" s="103">
        <v>89</v>
      </c>
      <c r="AR106" s="103">
        <v>134</v>
      </c>
      <c r="AS106" s="103"/>
      <c r="AT106" s="103"/>
      <c r="AU106" s="103"/>
      <c r="AV106" s="103"/>
      <c r="AW106" s="104" t="str">
        <f>HYPERLINK("http://www.openstreetmap.org/?mlat=33.4408&amp;mlon=43.7446&amp;zoom=12#map=12/33.4408/43.7446","Maplink1")</f>
        <v>Maplink1</v>
      </c>
      <c r="AX106" s="104" t="str">
        <f>HYPERLINK("https://www.google.iq/maps/search/+33.4408,43.7446/@33.4408,43.7446,14z?hl=en","Maplink2")</f>
        <v>Maplink2</v>
      </c>
      <c r="AY106" s="104" t="str">
        <f>HYPERLINK("http://www.bing.com/maps/?lvl=14&amp;sty=h&amp;cp=33.4408~43.7446&amp;sp=point.33.4408_43.7446","Maplink3")</f>
        <v>Maplink3</v>
      </c>
    </row>
    <row r="107" spans="1:51" x14ac:dyDescent="0.2">
      <c r="A107" s="102">
        <v>22133</v>
      </c>
      <c r="B107" s="103" t="s">
        <v>29</v>
      </c>
      <c r="C107" s="103" t="s">
        <v>80</v>
      </c>
      <c r="D107" s="103" t="s">
        <v>401</v>
      </c>
      <c r="E107" s="103" t="s">
        <v>402</v>
      </c>
      <c r="F107" s="103">
        <v>33.403703262999997</v>
      </c>
      <c r="G107" s="103">
        <v>43.894898537499998</v>
      </c>
      <c r="H107" s="102">
        <v>151</v>
      </c>
      <c r="I107" s="102">
        <v>906</v>
      </c>
      <c r="J107" s="103"/>
      <c r="K107" s="103"/>
      <c r="L107" s="103"/>
      <c r="M107" s="103">
        <v>151</v>
      </c>
      <c r="N107" s="103"/>
      <c r="O107" s="103"/>
      <c r="P107" s="103"/>
      <c r="Q107" s="103"/>
      <c r="R107" s="103"/>
      <c r="S107" s="103"/>
      <c r="T107" s="103"/>
      <c r="U107" s="103">
        <v>116</v>
      </c>
      <c r="V107" s="103"/>
      <c r="W107" s="103">
        <v>20</v>
      </c>
      <c r="X107" s="103"/>
      <c r="Y107" s="103"/>
      <c r="Z107" s="103"/>
      <c r="AA107" s="103">
        <v>5</v>
      </c>
      <c r="AB107" s="103"/>
      <c r="AC107" s="103">
        <v>10</v>
      </c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103">
        <v>42</v>
      </c>
      <c r="AO107" s="103"/>
      <c r="AP107" s="103">
        <v>63</v>
      </c>
      <c r="AQ107" s="103">
        <v>46</v>
      </c>
      <c r="AR107" s="103"/>
      <c r="AS107" s="103"/>
      <c r="AT107" s="103"/>
      <c r="AU107" s="103"/>
      <c r="AV107" s="103"/>
      <c r="AW107" s="104" t="str">
        <f>HYPERLINK("http://www.openstreetmap.org/?mlat=33.4037&amp;mlon=43.8949&amp;zoom=12#map=12/33.4037/43.8949","Maplink1")</f>
        <v>Maplink1</v>
      </c>
      <c r="AX107" s="104" t="str">
        <f>HYPERLINK("https://www.google.iq/maps/search/+33.4037,43.8949/@33.4037,43.8949,14z?hl=en","Maplink2")</f>
        <v>Maplink2</v>
      </c>
      <c r="AY107" s="104" t="str">
        <f>HYPERLINK("http://www.bing.com/maps/?lvl=14&amp;sty=h&amp;cp=33.4037~43.8949&amp;sp=point.33.4037_43.8949","Maplink3")</f>
        <v>Maplink3</v>
      </c>
    </row>
    <row r="108" spans="1:51" x14ac:dyDescent="0.2">
      <c r="A108" s="102">
        <v>315</v>
      </c>
      <c r="B108" s="103" t="s">
        <v>29</v>
      </c>
      <c r="C108" s="103" t="s">
        <v>80</v>
      </c>
      <c r="D108" s="103" t="s">
        <v>403</v>
      </c>
      <c r="E108" s="103" t="s">
        <v>404</v>
      </c>
      <c r="F108" s="103">
        <v>33.403875050099998</v>
      </c>
      <c r="G108" s="103">
        <v>43.846642412199998</v>
      </c>
      <c r="H108" s="102">
        <v>1748</v>
      </c>
      <c r="I108" s="102">
        <v>10488</v>
      </c>
      <c r="J108" s="103"/>
      <c r="K108" s="103"/>
      <c r="L108" s="103"/>
      <c r="M108" s="103">
        <v>1748</v>
      </c>
      <c r="N108" s="103"/>
      <c r="O108" s="103"/>
      <c r="P108" s="103"/>
      <c r="Q108" s="103"/>
      <c r="R108" s="103"/>
      <c r="S108" s="103"/>
      <c r="T108" s="103"/>
      <c r="U108" s="103">
        <v>930</v>
      </c>
      <c r="V108" s="103"/>
      <c r="W108" s="103">
        <v>585</v>
      </c>
      <c r="X108" s="103"/>
      <c r="Y108" s="103"/>
      <c r="Z108" s="103"/>
      <c r="AA108" s="103">
        <v>88</v>
      </c>
      <c r="AB108" s="103"/>
      <c r="AC108" s="103">
        <v>145</v>
      </c>
      <c r="AD108" s="103"/>
      <c r="AE108" s="103"/>
      <c r="AF108" s="103"/>
      <c r="AG108" s="103"/>
      <c r="AH108" s="103"/>
      <c r="AI108" s="103"/>
      <c r="AJ108" s="103"/>
      <c r="AK108" s="103"/>
      <c r="AL108" s="103"/>
      <c r="AM108" s="103">
        <v>593</v>
      </c>
      <c r="AN108" s="103">
        <v>268</v>
      </c>
      <c r="AO108" s="103"/>
      <c r="AP108" s="103">
        <v>217</v>
      </c>
      <c r="AQ108" s="103">
        <v>670</v>
      </c>
      <c r="AR108" s="103"/>
      <c r="AS108" s="103"/>
      <c r="AT108" s="103"/>
      <c r="AU108" s="103"/>
      <c r="AV108" s="103"/>
      <c r="AW108" s="104" t="str">
        <f>HYPERLINK("http://www.openstreetmap.org/?mlat=33.4039&amp;mlon=43.8466&amp;zoom=12#map=12/33.4039/43.8466","Maplink1")</f>
        <v>Maplink1</v>
      </c>
      <c r="AX108" s="104" t="str">
        <f>HYPERLINK("https://www.google.iq/maps/search/+33.4039,43.8466/@33.4039,43.8466,14z?hl=en","Maplink2")</f>
        <v>Maplink2</v>
      </c>
      <c r="AY108" s="104" t="str">
        <f>HYPERLINK("http://www.bing.com/maps/?lvl=14&amp;sty=h&amp;cp=33.4039~43.8466&amp;sp=point.33.4039_43.8466","Maplink3")</f>
        <v>Maplink3</v>
      </c>
    </row>
    <row r="109" spans="1:51" x14ac:dyDescent="0.2">
      <c r="A109" s="102">
        <v>21556</v>
      </c>
      <c r="B109" s="103" t="s">
        <v>29</v>
      </c>
      <c r="C109" s="103" t="s">
        <v>80</v>
      </c>
      <c r="D109" s="103" t="s">
        <v>285</v>
      </c>
      <c r="E109" s="103" t="s">
        <v>286</v>
      </c>
      <c r="F109" s="103">
        <v>33.400278673700001</v>
      </c>
      <c r="G109" s="103">
        <v>43.715342129900002</v>
      </c>
      <c r="H109" s="102">
        <v>1539</v>
      </c>
      <c r="I109" s="102">
        <v>9234</v>
      </c>
      <c r="J109" s="103">
        <v>14</v>
      </c>
      <c r="K109" s="103"/>
      <c r="L109" s="103"/>
      <c r="M109" s="103">
        <v>1489</v>
      </c>
      <c r="N109" s="103">
        <v>36</v>
      </c>
      <c r="O109" s="103"/>
      <c r="P109" s="103"/>
      <c r="Q109" s="103"/>
      <c r="R109" s="103"/>
      <c r="S109" s="103"/>
      <c r="T109" s="103"/>
      <c r="U109" s="103">
        <v>504</v>
      </c>
      <c r="V109" s="103"/>
      <c r="W109" s="103">
        <v>157</v>
      </c>
      <c r="X109" s="103"/>
      <c r="Y109" s="103"/>
      <c r="Z109" s="103"/>
      <c r="AA109" s="103">
        <v>313</v>
      </c>
      <c r="AB109" s="103"/>
      <c r="AC109" s="103">
        <v>423</v>
      </c>
      <c r="AD109" s="103"/>
      <c r="AE109" s="103"/>
      <c r="AF109" s="103"/>
      <c r="AG109" s="103"/>
      <c r="AH109" s="103"/>
      <c r="AI109" s="103"/>
      <c r="AJ109" s="103">
        <v>142</v>
      </c>
      <c r="AK109" s="103"/>
      <c r="AL109" s="103"/>
      <c r="AM109" s="103">
        <v>389</v>
      </c>
      <c r="AN109" s="103">
        <v>303</v>
      </c>
      <c r="AO109" s="103"/>
      <c r="AP109" s="103">
        <v>237</v>
      </c>
      <c r="AQ109" s="103">
        <v>182</v>
      </c>
      <c r="AR109" s="103">
        <v>428</v>
      </c>
      <c r="AS109" s="103"/>
      <c r="AT109" s="103"/>
      <c r="AU109" s="103"/>
      <c r="AV109" s="103"/>
      <c r="AW109" s="104" t="str">
        <f>HYPERLINK("http://www.openstreetmap.org/?mlat=33.4003&amp;mlon=43.7153&amp;zoom=12#map=12/33.4003/43.7153","Maplink1")</f>
        <v>Maplink1</v>
      </c>
      <c r="AX109" s="104" t="str">
        <f>HYPERLINK("https://www.google.iq/maps/search/+33.4003,43.7153/@33.4003,43.7153,14z?hl=en","Maplink2")</f>
        <v>Maplink2</v>
      </c>
      <c r="AY109" s="104" t="str">
        <f>HYPERLINK("http://www.bing.com/maps/?lvl=14&amp;sty=h&amp;cp=33.4003~43.7153&amp;sp=point.33.4003_43.7153","Maplink3")</f>
        <v>Maplink3</v>
      </c>
    </row>
    <row r="110" spans="1:51" x14ac:dyDescent="0.2">
      <c r="A110" s="102">
        <v>24106</v>
      </c>
      <c r="B110" s="103" t="s">
        <v>29</v>
      </c>
      <c r="C110" s="103" t="s">
        <v>80</v>
      </c>
      <c r="D110" s="103" t="s">
        <v>287</v>
      </c>
      <c r="E110" s="103" t="s">
        <v>288</v>
      </c>
      <c r="F110" s="103">
        <v>33.414446599800002</v>
      </c>
      <c r="G110" s="103">
        <v>43.968740017199998</v>
      </c>
      <c r="H110" s="102">
        <v>1321</v>
      </c>
      <c r="I110" s="102">
        <v>7926</v>
      </c>
      <c r="J110" s="103"/>
      <c r="K110" s="103"/>
      <c r="L110" s="103">
        <v>334</v>
      </c>
      <c r="M110" s="103">
        <v>987</v>
      </c>
      <c r="N110" s="103"/>
      <c r="O110" s="103"/>
      <c r="P110" s="103"/>
      <c r="Q110" s="103"/>
      <c r="R110" s="103"/>
      <c r="S110" s="103"/>
      <c r="T110" s="103"/>
      <c r="U110" s="103">
        <v>507</v>
      </c>
      <c r="V110" s="103"/>
      <c r="W110" s="103">
        <v>502</v>
      </c>
      <c r="X110" s="103"/>
      <c r="Y110" s="103"/>
      <c r="Z110" s="103"/>
      <c r="AA110" s="103">
        <v>45</v>
      </c>
      <c r="AB110" s="103"/>
      <c r="AC110" s="103">
        <v>157</v>
      </c>
      <c r="AD110" s="103"/>
      <c r="AE110" s="103"/>
      <c r="AF110" s="103"/>
      <c r="AG110" s="103"/>
      <c r="AH110" s="103"/>
      <c r="AI110" s="103"/>
      <c r="AJ110" s="103">
        <v>110</v>
      </c>
      <c r="AK110" s="103"/>
      <c r="AL110" s="103"/>
      <c r="AM110" s="103">
        <v>446</v>
      </c>
      <c r="AN110" s="103">
        <v>148</v>
      </c>
      <c r="AO110" s="103"/>
      <c r="AP110" s="103">
        <v>192</v>
      </c>
      <c r="AQ110" s="103">
        <v>535</v>
      </c>
      <c r="AR110" s="103"/>
      <c r="AS110" s="103"/>
      <c r="AT110" s="103"/>
      <c r="AU110" s="103"/>
      <c r="AV110" s="103"/>
      <c r="AW110" s="104" t="str">
        <f>HYPERLINK("http://www.openstreetmap.org/?mlat=33.4144&amp;mlon=43.9687&amp;zoom=12#map=12/33.4144/43.9687","Maplink1")</f>
        <v>Maplink1</v>
      </c>
      <c r="AX110" s="104" t="str">
        <f>HYPERLINK("https://www.google.iq/maps/search/+33.4144,43.9687/@33.4144,43.9687,14z?hl=en","Maplink2")</f>
        <v>Maplink2</v>
      </c>
      <c r="AY110" s="104" t="str">
        <f>HYPERLINK("http://www.bing.com/maps/?lvl=14&amp;sty=h&amp;cp=33.4144~43.9687&amp;sp=point.33.4144_43.9687","Maplink3")</f>
        <v>Maplink3</v>
      </c>
    </row>
    <row r="111" spans="1:51" x14ac:dyDescent="0.2">
      <c r="A111" s="102">
        <v>21742</v>
      </c>
      <c r="B111" s="103" t="s">
        <v>29</v>
      </c>
      <c r="C111" s="103" t="s">
        <v>80</v>
      </c>
      <c r="D111" s="103" t="s">
        <v>303</v>
      </c>
      <c r="E111" s="103" t="s">
        <v>304</v>
      </c>
      <c r="F111" s="103">
        <v>33.432554276700003</v>
      </c>
      <c r="G111" s="103">
        <v>43.969192937800003</v>
      </c>
      <c r="H111" s="102">
        <v>1277</v>
      </c>
      <c r="I111" s="102">
        <v>7662</v>
      </c>
      <c r="J111" s="103"/>
      <c r="K111" s="103"/>
      <c r="L111" s="103">
        <v>107</v>
      </c>
      <c r="M111" s="103">
        <v>1148</v>
      </c>
      <c r="N111" s="103">
        <v>22</v>
      </c>
      <c r="O111" s="103"/>
      <c r="P111" s="103"/>
      <c r="Q111" s="103"/>
      <c r="R111" s="103"/>
      <c r="S111" s="103"/>
      <c r="T111" s="103"/>
      <c r="U111" s="103">
        <v>838</v>
      </c>
      <c r="V111" s="103"/>
      <c r="W111" s="103">
        <v>346</v>
      </c>
      <c r="X111" s="103"/>
      <c r="Y111" s="103"/>
      <c r="Z111" s="103"/>
      <c r="AA111" s="103">
        <v>93</v>
      </c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>
        <v>402</v>
      </c>
      <c r="AN111" s="103">
        <v>307</v>
      </c>
      <c r="AO111" s="103"/>
      <c r="AP111" s="103">
        <v>174</v>
      </c>
      <c r="AQ111" s="103">
        <v>372</v>
      </c>
      <c r="AR111" s="103">
        <v>22</v>
      </c>
      <c r="AS111" s="103"/>
      <c r="AT111" s="103"/>
      <c r="AU111" s="103"/>
      <c r="AV111" s="103"/>
      <c r="AW111" s="104" t="str">
        <f>HYPERLINK("http://www.openstreetmap.org/?mlat=33.4326&amp;mlon=43.9692&amp;zoom=12#map=12/33.4326/43.9692","Maplink1")</f>
        <v>Maplink1</v>
      </c>
      <c r="AX111" s="104" t="str">
        <f>HYPERLINK("https://www.google.iq/maps/search/+33.4326,43.9692/@33.4326,43.9692,14z?hl=en","Maplink2")</f>
        <v>Maplink2</v>
      </c>
      <c r="AY111" s="104" t="str">
        <f>HYPERLINK("http://www.bing.com/maps/?lvl=14&amp;sty=h&amp;cp=33.4326~43.9692&amp;sp=point.33.4326_43.9692","Maplink3")</f>
        <v>Maplink3</v>
      </c>
    </row>
    <row r="112" spans="1:51" x14ac:dyDescent="0.2">
      <c r="A112" s="102">
        <v>24770</v>
      </c>
      <c r="B112" s="103" t="s">
        <v>29</v>
      </c>
      <c r="C112" s="103" t="s">
        <v>80</v>
      </c>
      <c r="D112" s="103" t="s">
        <v>305</v>
      </c>
      <c r="E112" s="103" t="s">
        <v>306</v>
      </c>
      <c r="F112" s="103">
        <v>33.403979614400001</v>
      </c>
      <c r="G112" s="103">
        <v>43.877554787299999</v>
      </c>
      <c r="H112" s="102">
        <v>200</v>
      </c>
      <c r="I112" s="102">
        <v>1200</v>
      </c>
      <c r="J112" s="103"/>
      <c r="K112" s="103"/>
      <c r="L112" s="103"/>
      <c r="M112" s="103">
        <v>200</v>
      </c>
      <c r="N112" s="103"/>
      <c r="O112" s="103"/>
      <c r="P112" s="103"/>
      <c r="Q112" s="103"/>
      <c r="R112" s="103"/>
      <c r="S112" s="103"/>
      <c r="T112" s="103"/>
      <c r="U112" s="103">
        <v>42</v>
      </c>
      <c r="V112" s="103"/>
      <c r="W112" s="103">
        <v>89</v>
      </c>
      <c r="X112" s="103"/>
      <c r="Y112" s="103"/>
      <c r="Z112" s="103"/>
      <c r="AA112" s="103"/>
      <c r="AB112" s="103"/>
      <c r="AC112" s="103">
        <v>69</v>
      </c>
      <c r="AD112" s="103"/>
      <c r="AE112" s="103"/>
      <c r="AF112" s="103"/>
      <c r="AG112" s="103"/>
      <c r="AH112" s="103"/>
      <c r="AI112" s="103"/>
      <c r="AJ112" s="103"/>
      <c r="AK112" s="103"/>
      <c r="AL112" s="103"/>
      <c r="AM112" s="103"/>
      <c r="AN112" s="103"/>
      <c r="AO112" s="103"/>
      <c r="AP112" s="103">
        <v>89</v>
      </c>
      <c r="AQ112" s="103">
        <v>111</v>
      </c>
      <c r="AR112" s="103"/>
      <c r="AS112" s="103"/>
      <c r="AT112" s="103"/>
      <c r="AU112" s="103"/>
      <c r="AV112" s="103"/>
      <c r="AW112" s="104" t="str">
        <f>HYPERLINK("http://www.openstreetmap.org/?mlat=33.404&amp;mlon=43.8776&amp;zoom=12#map=12/33.404/43.8776","Maplink1")</f>
        <v>Maplink1</v>
      </c>
      <c r="AX112" s="104" t="str">
        <f>HYPERLINK("https://www.google.iq/maps/search/+33.404,43.8776/@33.404,43.8776,14z?hl=en","Maplink2")</f>
        <v>Maplink2</v>
      </c>
      <c r="AY112" s="104" t="str">
        <f>HYPERLINK("http://www.bing.com/maps/?lvl=14&amp;sty=h&amp;cp=33.404~43.8776&amp;sp=point.33.404_43.8776","Maplink3")</f>
        <v>Maplink3</v>
      </c>
    </row>
    <row r="113" spans="1:51" x14ac:dyDescent="0.2">
      <c r="A113" s="102">
        <v>22606</v>
      </c>
      <c r="B113" s="103" t="s">
        <v>29</v>
      </c>
      <c r="C113" s="103" t="s">
        <v>80</v>
      </c>
      <c r="D113" s="103" t="s">
        <v>307</v>
      </c>
      <c r="E113" s="103" t="s">
        <v>308</v>
      </c>
      <c r="F113" s="103">
        <v>33.398941233999999</v>
      </c>
      <c r="G113" s="103">
        <v>43.633901867399999</v>
      </c>
      <c r="H113" s="102">
        <v>1180</v>
      </c>
      <c r="I113" s="102">
        <v>7080</v>
      </c>
      <c r="J113" s="103"/>
      <c r="K113" s="103"/>
      <c r="L113" s="103">
        <v>123</v>
      </c>
      <c r="M113" s="103">
        <v>1014</v>
      </c>
      <c r="N113" s="103">
        <v>43</v>
      </c>
      <c r="O113" s="103"/>
      <c r="P113" s="103"/>
      <c r="Q113" s="103"/>
      <c r="R113" s="103"/>
      <c r="S113" s="103"/>
      <c r="T113" s="103"/>
      <c r="U113" s="103">
        <v>698</v>
      </c>
      <c r="V113" s="103"/>
      <c r="W113" s="103">
        <v>199</v>
      </c>
      <c r="X113" s="103"/>
      <c r="Y113" s="103"/>
      <c r="Z113" s="103"/>
      <c r="AA113" s="103">
        <v>160</v>
      </c>
      <c r="AB113" s="103"/>
      <c r="AC113" s="103">
        <v>123</v>
      </c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>
        <v>694</v>
      </c>
      <c r="AN113" s="103">
        <v>65</v>
      </c>
      <c r="AO113" s="103"/>
      <c r="AP113" s="103">
        <v>283</v>
      </c>
      <c r="AQ113" s="103">
        <v>120</v>
      </c>
      <c r="AR113" s="103">
        <v>18</v>
      </c>
      <c r="AS113" s="103"/>
      <c r="AT113" s="103"/>
      <c r="AU113" s="103"/>
      <c r="AV113" s="103"/>
      <c r="AW113" s="104" t="str">
        <f>HYPERLINK("http://www.openstreetmap.org/?mlat=33.3989&amp;mlon=43.6339&amp;zoom=12#map=12/33.3989/43.6339","Maplink1")</f>
        <v>Maplink1</v>
      </c>
      <c r="AX113" s="104" t="str">
        <f>HYPERLINK("https://www.google.iq/maps/search/+33.3989,43.6339/@33.3989,43.6339,14z?hl=en","Maplink2")</f>
        <v>Maplink2</v>
      </c>
      <c r="AY113" s="104" t="str">
        <f>HYPERLINK("http://www.bing.com/maps/?lvl=14&amp;sty=h&amp;cp=33.3989~43.6339&amp;sp=point.33.3989_43.6339","Maplink3")</f>
        <v>Maplink3</v>
      </c>
    </row>
    <row r="114" spans="1:51" x14ac:dyDescent="0.2">
      <c r="A114" s="102">
        <v>173</v>
      </c>
      <c r="B114" s="103" t="s">
        <v>29</v>
      </c>
      <c r="C114" s="103" t="s">
        <v>80</v>
      </c>
      <c r="D114" s="103" t="s">
        <v>309</v>
      </c>
      <c r="E114" s="103" t="s">
        <v>310</v>
      </c>
      <c r="F114" s="103">
        <v>33.350251614999998</v>
      </c>
      <c r="G114" s="103">
        <v>43.775962079099997</v>
      </c>
      <c r="H114" s="102">
        <v>2356</v>
      </c>
      <c r="I114" s="102">
        <v>14136</v>
      </c>
      <c r="J114" s="103"/>
      <c r="K114" s="103"/>
      <c r="L114" s="103"/>
      <c r="M114" s="103">
        <v>2356</v>
      </c>
      <c r="N114" s="103"/>
      <c r="O114" s="103"/>
      <c r="P114" s="103"/>
      <c r="Q114" s="103"/>
      <c r="R114" s="103"/>
      <c r="S114" s="103"/>
      <c r="T114" s="103"/>
      <c r="U114" s="103">
        <v>1212</v>
      </c>
      <c r="V114" s="103"/>
      <c r="W114" s="103">
        <v>177</v>
      </c>
      <c r="X114" s="103"/>
      <c r="Y114" s="103"/>
      <c r="Z114" s="103"/>
      <c r="AA114" s="103">
        <v>625</v>
      </c>
      <c r="AB114" s="103"/>
      <c r="AC114" s="103">
        <v>132</v>
      </c>
      <c r="AD114" s="103"/>
      <c r="AE114" s="103"/>
      <c r="AF114" s="103"/>
      <c r="AG114" s="103"/>
      <c r="AH114" s="103"/>
      <c r="AI114" s="103"/>
      <c r="AJ114" s="103">
        <v>210</v>
      </c>
      <c r="AK114" s="103"/>
      <c r="AL114" s="103"/>
      <c r="AM114" s="103">
        <v>871</v>
      </c>
      <c r="AN114" s="103">
        <v>682</v>
      </c>
      <c r="AO114" s="103"/>
      <c r="AP114" s="103">
        <v>245</v>
      </c>
      <c r="AQ114" s="103">
        <v>408</v>
      </c>
      <c r="AR114" s="103">
        <v>150</v>
      </c>
      <c r="AS114" s="103"/>
      <c r="AT114" s="103"/>
      <c r="AU114" s="103"/>
      <c r="AV114" s="103"/>
      <c r="AW114" s="104" t="str">
        <f>HYPERLINK("http://www.openstreetmap.org/?mlat=33.3503&amp;mlon=43.776&amp;zoom=12#map=12/33.3503/43.776","Maplink1")</f>
        <v>Maplink1</v>
      </c>
      <c r="AX114" s="104" t="str">
        <f>HYPERLINK("https://www.google.iq/maps/search/+33.3503,43.776/@33.3503,43.776,14z?hl=en","Maplink2")</f>
        <v>Maplink2</v>
      </c>
      <c r="AY114" s="104" t="str">
        <f>HYPERLINK("http://www.bing.com/maps/?lvl=14&amp;sty=h&amp;cp=33.3503~43.776&amp;sp=point.33.3503_43.776","Maplink3")</f>
        <v>Maplink3</v>
      </c>
    </row>
    <row r="115" spans="1:51" x14ac:dyDescent="0.2">
      <c r="A115" s="102">
        <v>22706</v>
      </c>
      <c r="B115" s="103" t="s">
        <v>29</v>
      </c>
      <c r="C115" s="103" t="s">
        <v>80</v>
      </c>
      <c r="D115" s="103" t="s">
        <v>311</v>
      </c>
      <c r="E115" s="103" t="s">
        <v>312</v>
      </c>
      <c r="F115" s="103">
        <v>33.327874993000002</v>
      </c>
      <c r="G115" s="103">
        <v>43.7118562243</v>
      </c>
      <c r="H115" s="102">
        <v>2170</v>
      </c>
      <c r="I115" s="102">
        <v>13020</v>
      </c>
      <c r="J115" s="103"/>
      <c r="K115" s="103"/>
      <c r="L115" s="103"/>
      <c r="M115" s="103">
        <v>2170</v>
      </c>
      <c r="N115" s="103"/>
      <c r="O115" s="103"/>
      <c r="P115" s="103"/>
      <c r="Q115" s="103"/>
      <c r="R115" s="103"/>
      <c r="S115" s="103"/>
      <c r="T115" s="103"/>
      <c r="U115" s="103">
        <v>1146</v>
      </c>
      <c r="V115" s="103"/>
      <c r="W115" s="103">
        <v>300</v>
      </c>
      <c r="X115" s="103"/>
      <c r="Y115" s="103"/>
      <c r="Z115" s="103"/>
      <c r="AA115" s="103">
        <v>211</v>
      </c>
      <c r="AB115" s="103"/>
      <c r="AC115" s="103">
        <v>300</v>
      </c>
      <c r="AD115" s="103"/>
      <c r="AE115" s="103"/>
      <c r="AF115" s="103"/>
      <c r="AG115" s="103"/>
      <c r="AH115" s="103"/>
      <c r="AI115" s="103"/>
      <c r="AJ115" s="103">
        <v>213</v>
      </c>
      <c r="AK115" s="103"/>
      <c r="AL115" s="103"/>
      <c r="AM115" s="103">
        <v>1252</v>
      </c>
      <c r="AN115" s="103"/>
      <c r="AO115" s="103"/>
      <c r="AP115" s="103">
        <v>162</v>
      </c>
      <c r="AQ115" s="103">
        <v>614</v>
      </c>
      <c r="AR115" s="103">
        <v>142</v>
      </c>
      <c r="AS115" s="103"/>
      <c r="AT115" s="103"/>
      <c r="AU115" s="103"/>
      <c r="AV115" s="103"/>
      <c r="AW115" s="104" t="str">
        <f>HYPERLINK("http://www.openstreetmap.org/?mlat=33.3279&amp;mlon=43.7119&amp;zoom=12#map=12/33.3279/43.7119","Maplink1")</f>
        <v>Maplink1</v>
      </c>
      <c r="AX115" s="104" t="str">
        <f>HYPERLINK("https://www.google.iq/maps/search/+33.3279,43.7119/@33.3279,43.7119,14z?hl=en","Maplink2")</f>
        <v>Maplink2</v>
      </c>
      <c r="AY115" s="104" t="str">
        <f>HYPERLINK("http://www.bing.com/maps/?lvl=14&amp;sty=h&amp;cp=33.3279~43.7119&amp;sp=point.33.3279_43.7119","Maplink3")</f>
        <v>Maplink3</v>
      </c>
    </row>
    <row r="116" spans="1:51" x14ac:dyDescent="0.2">
      <c r="A116" s="102">
        <v>31880</v>
      </c>
      <c r="B116" s="103" t="s">
        <v>29</v>
      </c>
      <c r="C116" s="103" t="s">
        <v>80</v>
      </c>
      <c r="D116" s="103" t="s">
        <v>313</v>
      </c>
      <c r="E116" s="103" t="s">
        <v>314</v>
      </c>
      <c r="F116" s="103">
        <v>33.403100394600003</v>
      </c>
      <c r="G116" s="103">
        <v>43.907216833</v>
      </c>
      <c r="H116" s="102">
        <v>418</v>
      </c>
      <c r="I116" s="102">
        <v>2508</v>
      </c>
      <c r="J116" s="103"/>
      <c r="K116" s="103"/>
      <c r="L116" s="103"/>
      <c r="M116" s="103">
        <v>418</v>
      </c>
      <c r="N116" s="103"/>
      <c r="O116" s="103"/>
      <c r="P116" s="103"/>
      <c r="Q116" s="103"/>
      <c r="R116" s="103"/>
      <c r="S116" s="103"/>
      <c r="T116" s="103"/>
      <c r="U116" s="103">
        <v>60</v>
      </c>
      <c r="V116" s="103"/>
      <c r="W116" s="103">
        <v>168</v>
      </c>
      <c r="X116" s="103"/>
      <c r="Y116" s="103"/>
      <c r="Z116" s="103"/>
      <c r="AA116" s="103">
        <v>70</v>
      </c>
      <c r="AB116" s="103"/>
      <c r="AC116" s="103">
        <v>120</v>
      </c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>
        <v>168</v>
      </c>
      <c r="AN116" s="103"/>
      <c r="AO116" s="103"/>
      <c r="AP116" s="103">
        <v>190</v>
      </c>
      <c r="AQ116" s="103">
        <v>60</v>
      </c>
      <c r="AR116" s="103"/>
      <c r="AS116" s="103"/>
      <c r="AT116" s="103"/>
      <c r="AU116" s="103"/>
      <c r="AV116" s="103"/>
      <c r="AW116" s="104" t="str">
        <f>HYPERLINK("http://www.openstreetmap.org/?mlat=33.4031&amp;mlon=43.9072&amp;zoom=12#map=12/33.4031/43.9072","Maplink1")</f>
        <v>Maplink1</v>
      </c>
      <c r="AX116" s="104" t="str">
        <f>HYPERLINK("https://www.google.iq/maps/search/+33.4031,43.9072/@33.4031,43.9072,14z?hl=en","Maplink2")</f>
        <v>Maplink2</v>
      </c>
      <c r="AY116" s="104" t="str">
        <f>HYPERLINK("http://www.bing.com/maps/?lvl=14&amp;sty=h&amp;cp=33.4031~43.9072&amp;sp=point.33.4031_43.9072","Maplink3")</f>
        <v>Maplink3</v>
      </c>
    </row>
    <row r="117" spans="1:51" x14ac:dyDescent="0.2">
      <c r="A117" s="102">
        <v>318</v>
      </c>
      <c r="B117" s="103" t="s">
        <v>29</v>
      </c>
      <c r="C117" s="103" t="s">
        <v>80</v>
      </c>
      <c r="D117" s="103" t="s">
        <v>271</v>
      </c>
      <c r="E117" s="103" t="s">
        <v>272</v>
      </c>
      <c r="F117" s="103">
        <v>33.4408049611</v>
      </c>
      <c r="G117" s="103">
        <v>43.826234405900003</v>
      </c>
      <c r="H117" s="102">
        <v>2216</v>
      </c>
      <c r="I117" s="102">
        <v>13296</v>
      </c>
      <c r="J117" s="103"/>
      <c r="K117" s="103"/>
      <c r="L117" s="103">
        <v>110</v>
      </c>
      <c r="M117" s="103">
        <v>2106</v>
      </c>
      <c r="N117" s="103"/>
      <c r="O117" s="103"/>
      <c r="P117" s="103"/>
      <c r="Q117" s="103"/>
      <c r="R117" s="103"/>
      <c r="S117" s="103"/>
      <c r="T117" s="103"/>
      <c r="U117" s="103">
        <v>1495</v>
      </c>
      <c r="V117" s="103"/>
      <c r="W117" s="103">
        <v>523</v>
      </c>
      <c r="X117" s="103"/>
      <c r="Y117" s="103"/>
      <c r="Z117" s="103"/>
      <c r="AA117" s="103">
        <v>162</v>
      </c>
      <c r="AB117" s="103"/>
      <c r="AC117" s="103">
        <v>36</v>
      </c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>
        <v>541</v>
      </c>
      <c r="AN117" s="103">
        <v>90</v>
      </c>
      <c r="AO117" s="103"/>
      <c r="AP117" s="103">
        <v>254</v>
      </c>
      <c r="AQ117" s="103">
        <v>1331</v>
      </c>
      <c r="AR117" s="103"/>
      <c r="AS117" s="103"/>
      <c r="AT117" s="103"/>
      <c r="AU117" s="103"/>
      <c r="AV117" s="103"/>
      <c r="AW117" s="104" t="str">
        <f>HYPERLINK("http://www.openstreetmap.org/?mlat=33.4408&amp;mlon=43.8262&amp;zoom=12#map=12/33.4408/43.8262","Maplink1")</f>
        <v>Maplink1</v>
      </c>
      <c r="AX117" s="104" t="str">
        <f>HYPERLINK("https://www.google.iq/maps/search/+33.4408,43.8262/@33.4408,43.8262,14z?hl=en","Maplink2")</f>
        <v>Maplink2</v>
      </c>
      <c r="AY117" s="104" t="str">
        <f>HYPERLINK("http://www.bing.com/maps/?lvl=14&amp;sty=h&amp;cp=33.4408~43.8262&amp;sp=point.33.4408_43.8262","Maplink3")</f>
        <v>Maplink3</v>
      </c>
    </row>
    <row r="118" spans="1:51" x14ac:dyDescent="0.2">
      <c r="A118" s="102">
        <v>319</v>
      </c>
      <c r="B118" s="103" t="s">
        <v>29</v>
      </c>
      <c r="C118" s="103" t="s">
        <v>80</v>
      </c>
      <c r="D118" s="103" t="s">
        <v>273</v>
      </c>
      <c r="E118" s="103" t="s">
        <v>274</v>
      </c>
      <c r="F118" s="103">
        <v>33.339314138399999</v>
      </c>
      <c r="G118" s="103">
        <v>43.7493732549</v>
      </c>
      <c r="H118" s="102">
        <v>2769</v>
      </c>
      <c r="I118" s="102">
        <v>16614</v>
      </c>
      <c r="J118" s="103"/>
      <c r="K118" s="103"/>
      <c r="L118" s="103"/>
      <c r="M118" s="103">
        <v>2738</v>
      </c>
      <c r="N118" s="103">
        <v>31</v>
      </c>
      <c r="O118" s="103"/>
      <c r="P118" s="103"/>
      <c r="Q118" s="103"/>
      <c r="R118" s="103"/>
      <c r="S118" s="103"/>
      <c r="T118" s="103"/>
      <c r="U118" s="103">
        <v>2258</v>
      </c>
      <c r="V118" s="103"/>
      <c r="W118" s="103">
        <v>220</v>
      </c>
      <c r="X118" s="103"/>
      <c r="Y118" s="103"/>
      <c r="Z118" s="103"/>
      <c r="AA118" s="103">
        <v>210</v>
      </c>
      <c r="AB118" s="103"/>
      <c r="AC118" s="103">
        <v>81</v>
      </c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>
        <v>1352</v>
      </c>
      <c r="AN118" s="103">
        <v>31</v>
      </c>
      <c r="AO118" s="103"/>
      <c r="AP118" s="103">
        <v>199</v>
      </c>
      <c r="AQ118" s="103">
        <v>705</v>
      </c>
      <c r="AR118" s="103">
        <v>482</v>
      </c>
      <c r="AS118" s="103"/>
      <c r="AT118" s="103"/>
      <c r="AU118" s="103"/>
      <c r="AV118" s="103"/>
      <c r="AW118" s="104" t="str">
        <f>HYPERLINK("http://www.openstreetmap.org/?mlat=33.3393&amp;mlon=43.7494&amp;zoom=12#map=12/33.3393/43.7494","Maplink1")</f>
        <v>Maplink1</v>
      </c>
      <c r="AX118" s="104" t="str">
        <f>HYPERLINK("https://www.google.iq/maps/search/+33.3393,43.7494/@33.3393,43.7494,14z?hl=en","Maplink2")</f>
        <v>Maplink2</v>
      </c>
      <c r="AY118" s="104" t="str">
        <f>HYPERLINK("http://www.bing.com/maps/?lvl=14&amp;sty=h&amp;cp=33.3393~43.7494&amp;sp=point.33.3393_43.7494","Maplink3")</f>
        <v>Maplink3</v>
      </c>
    </row>
    <row r="119" spans="1:51" x14ac:dyDescent="0.2">
      <c r="A119" s="102">
        <v>29700</v>
      </c>
      <c r="B119" s="103" t="s">
        <v>29</v>
      </c>
      <c r="C119" s="103" t="s">
        <v>80</v>
      </c>
      <c r="D119" s="103" t="s">
        <v>275</v>
      </c>
      <c r="E119" s="103" t="s">
        <v>276</v>
      </c>
      <c r="F119" s="103">
        <v>33.374969999999998</v>
      </c>
      <c r="G119" s="103">
        <v>43.791170866500003</v>
      </c>
      <c r="H119" s="102">
        <v>1704</v>
      </c>
      <c r="I119" s="102">
        <v>10224</v>
      </c>
      <c r="J119" s="103"/>
      <c r="K119" s="103"/>
      <c r="L119" s="103"/>
      <c r="M119" s="103">
        <v>1683</v>
      </c>
      <c r="N119" s="103">
        <v>21</v>
      </c>
      <c r="O119" s="103"/>
      <c r="P119" s="103"/>
      <c r="Q119" s="103"/>
      <c r="R119" s="103"/>
      <c r="S119" s="103"/>
      <c r="T119" s="103"/>
      <c r="U119" s="103">
        <v>602</v>
      </c>
      <c r="V119" s="103"/>
      <c r="W119" s="103">
        <v>681</v>
      </c>
      <c r="X119" s="103"/>
      <c r="Y119" s="103"/>
      <c r="Z119" s="103"/>
      <c r="AA119" s="103">
        <v>90</v>
      </c>
      <c r="AB119" s="103"/>
      <c r="AC119" s="103">
        <v>21</v>
      </c>
      <c r="AD119" s="103"/>
      <c r="AE119" s="103"/>
      <c r="AF119" s="103"/>
      <c r="AG119" s="103"/>
      <c r="AH119" s="103"/>
      <c r="AI119" s="103"/>
      <c r="AJ119" s="103">
        <v>310</v>
      </c>
      <c r="AK119" s="103"/>
      <c r="AL119" s="103"/>
      <c r="AM119" s="103">
        <v>1061</v>
      </c>
      <c r="AN119" s="103"/>
      <c r="AO119" s="103"/>
      <c r="AP119" s="103">
        <v>146</v>
      </c>
      <c r="AQ119" s="103">
        <v>157</v>
      </c>
      <c r="AR119" s="103">
        <v>340</v>
      </c>
      <c r="AS119" s="103"/>
      <c r="AT119" s="103"/>
      <c r="AU119" s="103"/>
      <c r="AV119" s="103"/>
      <c r="AW119" s="104" t="str">
        <f>HYPERLINK("http://www.openstreetmap.org/?mlat=33.375&amp;mlon=43.7912&amp;zoom=12#map=12/33.375/43.7912","Maplink1")</f>
        <v>Maplink1</v>
      </c>
      <c r="AX119" s="104" t="str">
        <f>HYPERLINK("https://www.google.iq/maps/search/+33.375,43.7912/@33.375,43.7912,14z?hl=en","Maplink2")</f>
        <v>Maplink2</v>
      </c>
      <c r="AY119" s="104" t="str">
        <f>HYPERLINK("http://www.bing.com/maps/?lvl=14&amp;sty=h&amp;cp=33.375~43.7912&amp;sp=point.33.375_43.7912","Maplink3")</f>
        <v>Maplink3</v>
      </c>
    </row>
    <row r="120" spans="1:51" x14ac:dyDescent="0.2">
      <c r="A120" s="102">
        <v>33781</v>
      </c>
      <c r="B120" s="103" t="s">
        <v>29</v>
      </c>
      <c r="C120" s="103" t="s">
        <v>80</v>
      </c>
      <c r="D120" s="103" t="s">
        <v>277</v>
      </c>
      <c r="E120" s="103" t="s">
        <v>278</v>
      </c>
      <c r="F120" s="103">
        <v>33.4482</v>
      </c>
      <c r="G120" s="103">
        <v>43.796639999999996</v>
      </c>
      <c r="H120" s="102">
        <v>90</v>
      </c>
      <c r="I120" s="102">
        <v>540</v>
      </c>
      <c r="J120" s="103"/>
      <c r="K120" s="103"/>
      <c r="L120" s="103"/>
      <c r="M120" s="103">
        <v>70</v>
      </c>
      <c r="N120" s="103">
        <v>20</v>
      </c>
      <c r="O120" s="103"/>
      <c r="P120" s="103"/>
      <c r="Q120" s="103"/>
      <c r="R120" s="103"/>
      <c r="S120" s="103"/>
      <c r="T120" s="103"/>
      <c r="U120" s="103">
        <v>85</v>
      </c>
      <c r="V120" s="103"/>
      <c r="W120" s="103"/>
      <c r="X120" s="103"/>
      <c r="Y120" s="103"/>
      <c r="Z120" s="103"/>
      <c r="AA120" s="103">
        <v>5</v>
      </c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>
        <v>50</v>
      </c>
      <c r="AO120" s="103"/>
      <c r="AP120" s="103">
        <v>30</v>
      </c>
      <c r="AQ120" s="103"/>
      <c r="AR120" s="103">
        <v>10</v>
      </c>
      <c r="AS120" s="103"/>
      <c r="AT120" s="103"/>
      <c r="AU120" s="103"/>
      <c r="AV120" s="103"/>
      <c r="AW120" s="104" t="str">
        <f>HYPERLINK("http://www.openstreetmap.org/?mlat=33.4482&amp;mlon=43.7966&amp;zoom=12#map=12/33.4482/43.7966","Maplink1")</f>
        <v>Maplink1</v>
      </c>
      <c r="AX120" s="104" t="str">
        <f>HYPERLINK("https://www.google.iq/maps/search/+33.4482,43.7966/@33.4482,43.7966,14z?hl=en","Maplink2")</f>
        <v>Maplink2</v>
      </c>
      <c r="AY120" s="104" t="str">
        <f>HYPERLINK("http://www.bing.com/maps/?lvl=14&amp;sty=h&amp;cp=33.4482~43.7966&amp;sp=point.33.4482_43.7966","Maplink3")</f>
        <v>Maplink3</v>
      </c>
    </row>
    <row r="121" spans="1:51" x14ac:dyDescent="0.2">
      <c r="A121" s="102">
        <v>24769</v>
      </c>
      <c r="B121" s="103" t="s">
        <v>29</v>
      </c>
      <c r="C121" s="103" t="s">
        <v>80</v>
      </c>
      <c r="D121" s="103" t="s">
        <v>393</v>
      </c>
      <c r="E121" s="103" t="s">
        <v>394</v>
      </c>
      <c r="F121" s="103">
        <v>33.427522410599998</v>
      </c>
      <c r="G121" s="103">
        <v>43.8436608855</v>
      </c>
      <c r="H121" s="102">
        <v>102</v>
      </c>
      <c r="I121" s="102">
        <v>612</v>
      </c>
      <c r="J121" s="103"/>
      <c r="K121" s="103"/>
      <c r="L121" s="103"/>
      <c r="M121" s="103">
        <v>102</v>
      </c>
      <c r="N121" s="103"/>
      <c r="O121" s="103"/>
      <c r="P121" s="103"/>
      <c r="Q121" s="103"/>
      <c r="R121" s="103"/>
      <c r="S121" s="103"/>
      <c r="T121" s="103"/>
      <c r="U121" s="103">
        <v>81</v>
      </c>
      <c r="V121" s="103"/>
      <c r="W121" s="103"/>
      <c r="X121" s="103"/>
      <c r="Y121" s="103"/>
      <c r="Z121" s="103"/>
      <c r="AA121" s="103">
        <v>21</v>
      </c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103"/>
      <c r="AO121" s="103"/>
      <c r="AP121" s="103">
        <v>19</v>
      </c>
      <c r="AQ121" s="103">
        <v>83</v>
      </c>
      <c r="AR121" s="103"/>
      <c r="AS121" s="103"/>
      <c r="AT121" s="103"/>
      <c r="AU121" s="103"/>
      <c r="AV121" s="103"/>
      <c r="AW121" s="104" t="str">
        <f>HYPERLINK("http://www.openstreetmap.org/?mlat=33.4275&amp;mlon=43.8437&amp;zoom=12#map=12/33.4275/43.8437","Maplink1")</f>
        <v>Maplink1</v>
      </c>
      <c r="AX121" s="104" t="str">
        <f>HYPERLINK("https://www.google.iq/maps/search/+33.4275,43.8437/@33.4275,43.8437,14z?hl=en","Maplink2")</f>
        <v>Maplink2</v>
      </c>
      <c r="AY121" s="104" t="str">
        <f>HYPERLINK("http://www.bing.com/maps/?lvl=14&amp;sty=h&amp;cp=33.4275~43.8437&amp;sp=point.33.4275_43.8437","Maplink3")</f>
        <v>Maplink3</v>
      </c>
    </row>
    <row r="122" spans="1:51" x14ac:dyDescent="0.2">
      <c r="A122" s="102">
        <v>21125</v>
      </c>
      <c r="B122" s="103" t="s">
        <v>29</v>
      </c>
      <c r="C122" s="103" t="s">
        <v>80</v>
      </c>
      <c r="D122" s="103" t="s">
        <v>395</v>
      </c>
      <c r="E122" s="103" t="s">
        <v>396</v>
      </c>
      <c r="F122" s="103">
        <v>33.405940309199998</v>
      </c>
      <c r="G122" s="103">
        <v>43.814410641800002</v>
      </c>
      <c r="H122" s="102">
        <v>210</v>
      </c>
      <c r="I122" s="102">
        <v>1260</v>
      </c>
      <c r="J122" s="103"/>
      <c r="K122" s="103"/>
      <c r="L122" s="103"/>
      <c r="M122" s="103">
        <v>210</v>
      </c>
      <c r="N122" s="103"/>
      <c r="O122" s="103"/>
      <c r="P122" s="103"/>
      <c r="Q122" s="103"/>
      <c r="R122" s="103"/>
      <c r="S122" s="103"/>
      <c r="T122" s="103"/>
      <c r="U122" s="103">
        <v>67</v>
      </c>
      <c r="V122" s="103"/>
      <c r="W122" s="103">
        <v>112</v>
      </c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>
        <v>31</v>
      </c>
      <c r="AJ122" s="103"/>
      <c r="AK122" s="103"/>
      <c r="AL122" s="103"/>
      <c r="AM122" s="103">
        <v>31</v>
      </c>
      <c r="AN122" s="103">
        <v>112</v>
      </c>
      <c r="AO122" s="103"/>
      <c r="AP122" s="103"/>
      <c r="AQ122" s="103">
        <v>67</v>
      </c>
      <c r="AR122" s="103"/>
      <c r="AS122" s="103"/>
      <c r="AT122" s="103"/>
      <c r="AU122" s="103"/>
      <c r="AV122" s="103"/>
      <c r="AW122" s="104" t="str">
        <f>HYPERLINK("http://www.openstreetmap.org/?mlat=33.4059&amp;mlon=43.8144&amp;zoom=12#map=12/33.4059/43.8144","Maplink1")</f>
        <v>Maplink1</v>
      </c>
      <c r="AX122" s="104" t="str">
        <f>HYPERLINK("https://www.google.iq/maps/search/+33.4059,43.8144/@33.4059,43.8144,14z?hl=en","Maplink2")</f>
        <v>Maplink2</v>
      </c>
      <c r="AY122" s="104" t="str">
        <f>HYPERLINK("http://www.bing.com/maps/?lvl=14&amp;sty=h&amp;cp=33.4059~43.8144&amp;sp=point.33.4059_43.8144","Maplink3")</f>
        <v>Maplink3</v>
      </c>
    </row>
    <row r="123" spans="1:51" x14ac:dyDescent="0.2">
      <c r="A123" s="102">
        <v>21559</v>
      </c>
      <c r="B123" s="103" t="s">
        <v>29</v>
      </c>
      <c r="C123" s="103" t="s">
        <v>80</v>
      </c>
      <c r="D123" s="103" t="s">
        <v>397</v>
      </c>
      <c r="E123" s="103" t="s">
        <v>398</v>
      </c>
      <c r="F123" s="103">
        <v>33.385687733099999</v>
      </c>
      <c r="G123" s="103">
        <v>43.643497230500003</v>
      </c>
      <c r="H123" s="102">
        <v>631</v>
      </c>
      <c r="I123" s="102">
        <v>3786</v>
      </c>
      <c r="J123" s="103"/>
      <c r="K123" s="103"/>
      <c r="L123" s="103"/>
      <c r="M123" s="103">
        <v>631</v>
      </c>
      <c r="N123" s="103"/>
      <c r="O123" s="103"/>
      <c r="P123" s="103"/>
      <c r="Q123" s="103"/>
      <c r="R123" s="103"/>
      <c r="S123" s="103"/>
      <c r="T123" s="103"/>
      <c r="U123" s="103">
        <v>146</v>
      </c>
      <c r="V123" s="103"/>
      <c r="W123" s="103">
        <v>176</v>
      </c>
      <c r="X123" s="103"/>
      <c r="Y123" s="103"/>
      <c r="Z123" s="103"/>
      <c r="AA123" s="103">
        <v>249</v>
      </c>
      <c r="AB123" s="103"/>
      <c r="AC123" s="103">
        <v>60</v>
      </c>
      <c r="AD123" s="103"/>
      <c r="AE123" s="103"/>
      <c r="AF123" s="103"/>
      <c r="AG123" s="103"/>
      <c r="AH123" s="103"/>
      <c r="AI123" s="103"/>
      <c r="AJ123" s="103"/>
      <c r="AK123" s="103"/>
      <c r="AL123" s="103"/>
      <c r="AM123" s="103">
        <v>195</v>
      </c>
      <c r="AN123" s="103">
        <v>125</v>
      </c>
      <c r="AO123" s="103"/>
      <c r="AP123" s="103">
        <v>251</v>
      </c>
      <c r="AQ123" s="103">
        <v>60</v>
      </c>
      <c r="AR123" s="103"/>
      <c r="AS123" s="103"/>
      <c r="AT123" s="103"/>
      <c r="AU123" s="103"/>
      <c r="AV123" s="103"/>
      <c r="AW123" s="104" t="str">
        <f>HYPERLINK("http://www.openstreetmap.org/?mlat=33.3857&amp;mlon=43.6435&amp;zoom=12#map=12/33.3857/43.6435","Maplink1")</f>
        <v>Maplink1</v>
      </c>
      <c r="AX123" s="104" t="str">
        <f>HYPERLINK("https://www.google.iq/maps/search/+33.3857,43.6435/@33.3857,43.6435,14z?hl=en","Maplink2")</f>
        <v>Maplink2</v>
      </c>
      <c r="AY123" s="104" t="str">
        <f>HYPERLINK("http://www.bing.com/maps/?lvl=14&amp;sty=h&amp;cp=33.3857~43.6435&amp;sp=point.33.3857_43.6435","Maplink3")</f>
        <v>Maplink3</v>
      </c>
    </row>
    <row r="124" spans="1:51" x14ac:dyDescent="0.2">
      <c r="A124" s="102">
        <v>31881</v>
      </c>
      <c r="B124" s="103" t="s">
        <v>29</v>
      </c>
      <c r="C124" s="103" t="s">
        <v>80</v>
      </c>
      <c r="D124" s="103" t="s">
        <v>399</v>
      </c>
      <c r="E124" s="103" t="s">
        <v>400</v>
      </c>
      <c r="F124" s="103">
        <v>33.424783833299998</v>
      </c>
      <c r="G124" s="103">
        <v>43.992153070999997</v>
      </c>
      <c r="H124" s="102">
        <v>588</v>
      </c>
      <c r="I124" s="102">
        <v>3528</v>
      </c>
      <c r="J124" s="103"/>
      <c r="K124" s="103"/>
      <c r="L124" s="103">
        <v>70</v>
      </c>
      <c r="M124" s="103">
        <v>507</v>
      </c>
      <c r="N124" s="103">
        <v>11</v>
      </c>
      <c r="O124" s="103"/>
      <c r="P124" s="103"/>
      <c r="Q124" s="103"/>
      <c r="R124" s="103"/>
      <c r="S124" s="103"/>
      <c r="T124" s="103"/>
      <c r="U124" s="103">
        <v>140</v>
      </c>
      <c r="V124" s="103"/>
      <c r="W124" s="103">
        <v>166</v>
      </c>
      <c r="X124" s="103"/>
      <c r="Y124" s="103"/>
      <c r="Z124" s="103"/>
      <c r="AA124" s="103">
        <v>105</v>
      </c>
      <c r="AB124" s="103"/>
      <c r="AC124" s="103">
        <v>177</v>
      </c>
      <c r="AD124" s="103"/>
      <c r="AE124" s="103"/>
      <c r="AF124" s="103"/>
      <c r="AG124" s="103"/>
      <c r="AH124" s="103"/>
      <c r="AI124" s="103"/>
      <c r="AJ124" s="103"/>
      <c r="AK124" s="103"/>
      <c r="AL124" s="103"/>
      <c r="AM124" s="103">
        <v>175</v>
      </c>
      <c r="AN124" s="103">
        <v>181</v>
      </c>
      <c r="AO124" s="103"/>
      <c r="AP124" s="103">
        <v>166</v>
      </c>
      <c r="AQ124" s="103">
        <v>55</v>
      </c>
      <c r="AR124" s="103">
        <v>11</v>
      </c>
      <c r="AS124" s="103"/>
      <c r="AT124" s="103"/>
      <c r="AU124" s="103"/>
      <c r="AV124" s="103"/>
      <c r="AW124" s="104" t="str">
        <f>HYPERLINK("http://www.openstreetmap.org/?mlat=33.4248&amp;mlon=43.9922&amp;zoom=12#map=12/33.4248/43.9922","Maplink1")</f>
        <v>Maplink1</v>
      </c>
      <c r="AX124" s="104" t="str">
        <f>HYPERLINK("https://www.google.iq/maps/search/+33.4248,43.9922/@33.4248,43.9922,14z?hl=en","Maplink2")</f>
        <v>Maplink2</v>
      </c>
      <c r="AY124" s="104" t="str">
        <f>HYPERLINK("http://www.bing.com/maps/?lvl=14&amp;sty=h&amp;cp=33.4248~43.9922&amp;sp=point.33.4248_43.9922","Maplink3")</f>
        <v>Maplink3</v>
      </c>
    </row>
    <row r="125" spans="1:51" x14ac:dyDescent="0.2">
      <c r="A125" s="102">
        <v>289</v>
      </c>
      <c r="B125" s="103" t="s">
        <v>29</v>
      </c>
      <c r="C125" s="103" t="s">
        <v>80</v>
      </c>
      <c r="D125" s="103" t="s">
        <v>289</v>
      </c>
      <c r="E125" s="103" t="s">
        <v>290</v>
      </c>
      <c r="F125" s="103">
        <v>33.3354851084</v>
      </c>
      <c r="G125" s="103">
        <v>43.727906970299998</v>
      </c>
      <c r="H125" s="102">
        <v>1349</v>
      </c>
      <c r="I125" s="102">
        <v>8094</v>
      </c>
      <c r="J125" s="103"/>
      <c r="K125" s="103"/>
      <c r="L125" s="103"/>
      <c r="M125" s="103">
        <v>1330</v>
      </c>
      <c r="N125" s="103">
        <v>19</v>
      </c>
      <c r="O125" s="103"/>
      <c r="P125" s="103"/>
      <c r="Q125" s="103"/>
      <c r="R125" s="103"/>
      <c r="S125" s="103"/>
      <c r="T125" s="103"/>
      <c r="U125" s="103">
        <v>713</v>
      </c>
      <c r="V125" s="103"/>
      <c r="W125" s="103">
        <v>226</v>
      </c>
      <c r="X125" s="103"/>
      <c r="Y125" s="103"/>
      <c r="Z125" s="103"/>
      <c r="AA125" s="103">
        <v>213</v>
      </c>
      <c r="AB125" s="103"/>
      <c r="AC125" s="103">
        <v>19</v>
      </c>
      <c r="AD125" s="103"/>
      <c r="AE125" s="103"/>
      <c r="AF125" s="103"/>
      <c r="AG125" s="103"/>
      <c r="AH125" s="103"/>
      <c r="AI125" s="103"/>
      <c r="AJ125" s="103">
        <v>178</v>
      </c>
      <c r="AK125" s="103"/>
      <c r="AL125" s="103"/>
      <c r="AM125" s="103">
        <v>624</v>
      </c>
      <c r="AN125" s="103">
        <v>178</v>
      </c>
      <c r="AO125" s="103"/>
      <c r="AP125" s="103">
        <v>80</v>
      </c>
      <c r="AQ125" s="103">
        <v>287</v>
      </c>
      <c r="AR125" s="103">
        <v>180</v>
      </c>
      <c r="AS125" s="103"/>
      <c r="AT125" s="103"/>
      <c r="AU125" s="103"/>
      <c r="AV125" s="103"/>
      <c r="AW125" s="104" t="str">
        <f>HYPERLINK("http://www.openstreetmap.org/?mlat=33.3355&amp;mlon=43.7279&amp;zoom=12#map=12/33.3355/43.7279","Maplink1")</f>
        <v>Maplink1</v>
      </c>
      <c r="AX125" s="104" t="str">
        <f>HYPERLINK("https://www.google.iq/maps/search/+33.3355,43.7279/@33.3355,43.7279,14z?hl=en","Maplink2")</f>
        <v>Maplink2</v>
      </c>
      <c r="AY125" s="104" t="str">
        <f>HYPERLINK("http://www.bing.com/maps/?lvl=14&amp;sty=h&amp;cp=33.3355~43.7279&amp;sp=point.33.3355_43.7279","Maplink3")</f>
        <v>Maplink3</v>
      </c>
    </row>
    <row r="126" spans="1:51" x14ac:dyDescent="0.2">
      <c r="A126" s="102">
        <v>21201</v>
      </c>
      <c r="B126" s="103" t="s">
        <v>29</v>
      </c>
      <c r="C126" s="103" t="s">
        <v>80</v>
      </c>
      <c r="D126" s="103" t="s">
        <v>291</v>
      </c>
      <c r="E126" s="103" t="s">
        <v>292</v>
      </c>
      <c r="F126" s="103">
        <v>33.3991725801</v>
      </c>
      <c r="G126" s="103">
        <v>43.582498477800002</v>
      </c>
      <c r="H126" s="102">
        <v>1058</v>
      </c>
      <c r="I126" s="102">
        <v>6348</v>
      </c>
      <c r="J126" s="103"/>
      <c r="K126" s="103"/>
      <c r="L126" s="103"/>
      <c r="M126" s="103">
        <v>1038</v>
      </c>
      <c r="N126" s="103">
        <v>20</v>
      </c>
      <c r="O126" s="103"/>
      <c r="P126" s="103"/>
      <c r="Q126" s="103"/>
      <c r="R126" s="103"/>
      <c r="S126" s="103"/>
      <c r="T126" s="103"/>
      <c r="U126" s="103">
        <v>870</v>
      </c>
      <c r="V126" s="103"/>
      <c r="W126" s="103">
        <v>87</v>
      </c>
      <c r="X126" s="103"/>
      <c r="Y126" s="103"/>
      <c r="Z126" s="103"/>
      <c r="AA126" s="103"/>
      <c r="AB126" s="103"/>
      <c r="AC126" s="103">
        <v>101</v>
      </c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>
        <v>815</v>
      </c>
      <c r="AN126" s="103">
        <v>156</v>
      </c>
      <c r="AO126" s="103"/>
      <c r="AP126" s="103">
        <v>87</v>
      </c>
      <c r="AQ126" s="103"/>
      <c r="AR126" s="103"/>
      <c r="AS126" s="103"/>
      <c r="AT126" s="103"/>
      <c r="AU126" s="103"/>
      <c r="AV126" s="103"/>
      <c r="AW126" s="104" t="str">
        <f>HYPERLINK("http://www.openstreetmap.org/?mlat=33.3992&amp;mlon=43.5825&amp;zoom=12#map=12/33.3992/43.5825","Maplink1")</f>
        <v>Maplink1</v>
      </c>
      <c r="AX126" s="104" t="str">
        <f>HYPERLINK("https://www.google.iq/maps/search/+33.3992,43.5825/@33.3992,43.5825,14z?hl=en","Maplink2")</f>
        <v>Maplink2</v>
      </c>
      <c r="AY126" s="104" t="str">
        <f>HYPERLINK("http://www.bing.com/maps/?lvl=14&amp;sty=h&amp;cp=33.3992~43.5825&amp;sp=point.33.3992_43.5825","Maplink3")</f>
        <v>Maplink3</v>
      </c>
    </row>
    <row r="127" spans="1:51" x14ac:dyDescent="0.2">
      <c r="A127" s="102">
        <v>122</v>
      </c>
      <c r="B127" s="103" t="s">
        <v>29</v>
      </c>
      <c r="C127" s="103" t="s">
        <v>80</v>
      </c>
      <c r="D127" s="103" t="s">
        <v>283</v>
      </c>
      <c r="E127" s="103" t="s">
        <v>284</v>
      </c>
      <c r="F127" s="103">
        <v>33.354976954900003</v>
      </c>
      <c r="G127" s="103">
        <v>43.7819224689</v>
      </c>
      <c r="H127" s="102">
        <v>2473</v>
      </c>
      <c r="I127" s="102">
        <v>14838</v>
      </c>
      <c r="J127" s="103"/>
      <c r="K127" s="103"/>
      <c r="L127" s="103"/>
      <c r="M127" s="103">
        <v>2473</v>
      </c>
      <c r="N127" s="103"/>
      <c r="O127" s="103"/>
      <c r="P127" s="103"/>
      <c r="Q127" s="103"/>
      <c r="R127" s="103"/>
      <c r="S127" s="103"/>
      <c r="T127" s="103"/>
      <c r="U127" s="103">
        <v>1361</v>
      </c>
      <c r="V127" s="103"/>
      <c r="W127" s="103">
        <v>391</v>
      </c>
      <c r="X127" s="103"/>
      <c r="Y127" s="103"/>
      <c r="Z127" s="103"/>
      <c r="AA127" s="103">
        <v>482</v>
      </c>
      <c r="AB127" s="103"/>
      <c r="AC127" s="103">
        <v>59</v>
      </c>
      <c r="AD127" s="103"/>
      <c r="AE127" s="103"/>
      <c r="AF127" s="103"/>
      <c r="AG127" s="103"/>
      <c r="AH127" s="103"/>
      <c r="AI127" s="103"/>
      <c r="AJ127" s="103">
        <v>180</v>
      </c>
      <c r="AK127" s="103"/>
      <c r="AL127" s="103"/>
      <c r="AM127" s="103">
        <v>1210</v>
      </c>
      <c r="AN127" s="103"/>
      <c r="AO127" s="103"/>
      <c r="AP127" s="103">
        <v>300</v>
      </c>
      <c r="AQ127" s="103">
        <v>758</v>
      </c>
      <c r="AR127" s="103">
        <v>205</v>
      </c>
      <c r="AS127" s="103"/>
      <c r="AT127" s="103"/>
      <c r="AU127" s="103"/>
      <c r="AV127" s="103"/>
      <c r="AW127" s="104" t="str">
        <f>HYPERLINK("http://www.openstreetmap.org/?mlat=33.355&amp;mlon=43.7819&amp;zoom=12#map=12/33.355/43.7819","Maplink1")</f>
        <v>Maplink1</v>
      </c>
      <c r="AX127" s="104" t="str">
        <f>HYPERLINK("https://www.google.iq/maps/search/+33.355,43.7819/@33.355,43.7819,14z?hl=en","Maplink2")</f>
        <v>Maplink2</v>
      </c>
      <c r="AY127" s="104" t="str">
        <f>HYPERLINK("http://www.bing.com/maps/?lvl=14&amp;sty=h&amp;cp=33.355~43.7819&amp;sp=point.33.355_43.7819","Maplink3")</f>
        <v>Maplink3</v>
      </c>
    </row>
    <row r="128" spans="1:51" x14ac:dyDescent="0.2">
      <c r="A128" s="102">
        <v>22705</v>
      </c>
      <c r="B128" s="103" t="s">
        <v>29</v>
      </c>
      <c r="C128" s="103" t="s">
        <v>80</v>
      </c>
      <c r="D128" s="103" t="s">
        <v>362</v>
      </c>
      <c r="E128" s="103" t="s">
        <v>363</v>
      </c>
      <c r="F128" s="103">
        <v>33.415047294799997</v>
      </c>
      <c r="G128" s="103">
        <v>43.6176448724</v>
      </c>
      <c r="H128" s="102">
        <v>796</v>
      </c>
      <c r="I128" s="102">
        <v>4776</v>
      </c>
      <c r="J128" s="103"/>
      <c r="K128" s="103"/>
      <c r="L128" s="103"/>
      <c r="M128" s="103">
        <v>769</v>
      </c>
      <c r="N128" s="103">
        <v>27</v>
      </c>
      <c r="O128" s="103"/>
      <c r="P128" s="103"/>
      <c r="Q128" s="103"/>
      <c r="R128" s="103"/>
      <c r="S128" s="103"/>
      <c r="T128" s="103"/>
      <c r="U128" s="103">
        <v>450</v>
      </c>
      <c r="V128" s="103"/>
      <c r="W128" s="103">
        <v>55</v>
      </c>
      <c r="X128" s="103"/>
      <c r="Y128" s="103"/>
      <c r="Z128" s="103"/>
      <c r="AA128" s="103">
        <v>214</v>
      </c>
      <c r="AB128" s="103"/>
      <c r="AC128" s="103"/>
      <c r="AD128" s="103"/>
      <c r="AE128" s="103"/>
      <c r="AF128" s="103"/>
      <c r="AG128" s="103"/>
      <c r="AH128" s="103"/>
      <c r="AI128" s="103"/>
      <c r="AJ128" s="103">
        <v>77</v>
      </c>
      <c r="AK128" s="103"/>
      <c r="AL128" s="103"/>
      <c r="AM128" s="103">
        <v>450</v>
      </c>
      <c r="AN128" s="103"/>
      <c r="AO128" s="103"/>
      <c r="AP128" s="103">
        <v>55</v>
      </c>
      <c r="AQ128" s="103">
        <v>214</v>
      </c>
      <c r="AR128" s="103">
        <v>77</v>
      </c>
      <c r="AS128" s="103"/>
      <c r="AT128" s="103"/>
      <c r="AU128" s="103"/>
      <c r="AV128" s="103"/>
      <c r="AW128" s="104" t="str">
        <f>HYPERLINK("http://www.openstreetmap.org/?mlat=33.415&amp;mlon=43.6176&amp;zoom=12#map=12/33.415/43.6176","Maplink1")</f>
        <v>Maplink1</v>
      </c>
      <c r="AX128" s="104" t="str">
        <f>HYPERLINK("https://www.google.iq/maps/search/+33.415,43.6176/@33.415,43.6176,14z?hl=en","Maplink2")</f>
        <v>Maplink2</v>
      </c>
      <c r="AY128" s="104" t="str">
        <f>HYPERLINK("http://www.bing.com/maps/?lvl=14&amp;sty=h&amp;cp=33.415~43.6176&amp;sp=point.33.415_43.6176","Maplink3")</f>
        <v>Maplink3</v>
      </c>
    </row>
    <row r="129" spans="1:51" x14ac:dyDescent="0.2">
      <c r="A129" s="102">
        <v>23801</v>
      </c>
      <c r="B129" s="103" t="s">
        <v>29</v>
      </c>
      <c r="C129" s="103" t="s">
        <v>80</v>
      </c>
      <c r="D129" s="103" t="s">
        <v>364</v>
      </c>
      <c r="E129" s="103" t="s">
        <v>365</v>
      </c>
      <c r="F129" s="103">
        <v>33.369782260999997</v>
      </c>
      <c r="G129" s="103">
        <v>43.7011520426</v>
      </c>
      <c r="H129" s="102">
        <v>1471</v>
      </c>
      <c r="I129" s="102">
        <v>8826</v>
      </c>
      <c r="J129" s="103"/>
      <c r="K129" s="103"/>
      <c r="L129" s="103">
        <v>68</v>
      </c>
      <c r="M129" s="103">
        <v>1329</v>
      </c>
      <c r="N129" s="103">
        <v>74</v>
      </c>
      <c r="O129" s="103"/>
      <c r="P129" s="103"/>
      <c r="Q129" s="103"/>
      <c r="R129" s="103"/>
      <c r="S129" s="103"/>
      <c r="T129" s="103"/>
      <c r="U129" s="103">
        <v>929</v>
      </c>
      <c r="V129" s="103"/>
      <c r="W129" s="103">
        <v>311</v>
      </c>
      <c r="X129" s="103"/>
      <c r="Y129" s="103"/>
      <c r="Z129" s="103"/>
      <c r="AA129" s="103">
        <v>163</v>
      </c>
      <c r="AB129" s="103"/>
      <c r="AC129" s="103">
        <v>68</v>
      </c>
      <c r="AD129" s="103"/>
      <c r="AE129" s="103"/>
      <c r="AF129" s="103"/>
      <c r="AG129" s="103"/>
      <c r="AH129" s="103"/>
      <c r="AI129" s="103"/>
      <c r="AJ129" s="103"/>
      <c r="AK129" s="103"/>
      <c r="AL129" s="103"/>
      <c r="AM129" s="103">
        <v>719</v>
      </c>
      <c r="AN129" s="103">
        <v>140</v>
      </c>
      <c r="AO129" s="103"/>
      <c r="AP129" s="103">
        <v>163</v>
      </c>
      <c r="AQ129" s="103">
        <v>220</v>
      </c>
      <c r="AR129" s="103">
        <v>229</v>
      </c>
      <c r="AS129" s="103"/>
      <c r="AT129" s="103"/>
      <c r="AU129" s="103"/>
      <c r="AV129" s="103"/>
      <c r="AW129" s="104" t="str">
        <f>HYPERLINK("http://www.openstreetmap.org/?mlat=33.3698&amp;mlon=43.7012&amp;zoom=12#map=12/33.3698/43.7012","Maplink1")</f>
        <v>Maplink1</v>
      </c>
      <c r="AX129" s="104" t="str">
        <f>HYPERLINK("https://www.google.iq/maps/search/+33.3698,43.7012/@33.3698,43.7012,14z?hl=en","Maplink2")</f>
        <v>Maplink2</v>
      </c>
      <c r="AY129" s="104" t="str">
        <f>HYPERLINK("http://www.bing.com/maps/?lvl=14&amp;sty=h&amp;cp=33.3698~43.7012&amp;sp=point.33.3698_43.7012","Maplink3")</f>
        <v>Maplink3</v>
      </c>
    </row>
    <row r="130" spans="1:51" x14ac:dyDescent="0.2">
      <c r="A130" s="102">
        <v>24107</v>
      </c>
      <c r="B130" s="103" t="s">
        <v>29</v>
      </c>
      <c r="C130" s="103" t="s">
        <v>80</v>
      </c>
      <c r="D130" s="103" t="s">
        <v>366</v>
      </c>
      <c r="E130" s="103" t="s">
        <v>367</v>
      </c>
      <c r="F130" s="103">
        <v>33.421669620999999</v>
      </c>
      <c r="G130" s="103">
        <v>43.8574523013</v>
      </c>
      <c r="H130" s="102">
        <v>1603</v>
      </c>
      <c r="I130" s="102">
        <v>9618</v>
      </c>
      <c r="J130" s="103"/>
      <c r="K130" s="103"/>
      <c r="L130" s="103">
        <v>87</v>
      </c>
      <c r="M130" s="103">
        <v>1489</v>
      </c>
      <c r="N130" s="103">
        <v>27</v>
      </c>
      <c r="O130" s="103"/>
      <c r="P130" s="103"/>
      <c r="Q130" s="103"/>
      <c r="R130" s="103"/>
      <c r="S130" s="103"/>
      <c r="T130" s="103"/>
      <c r="U130" s="103">
        <v>923</v>
      </c>
      <c r="V130" s="103"/>
      <c r="W130" s="103">
        <v>563</v>
      </c>
      <c r="X130" s="103"/>
      <c r="Y130" s="103"/>
      <c r="Z130" s="103"/>
      <c r="AA130" s="103"/>
      <c r="AB130" s="103"/>
      <c r="AC130" s="103">
        <v>90</v>
      </c>
      <c r="AD130" s="103"/>
      <c r="AE130" s="103"/>
      <c r="AF130" s="103"/>
      <c r="AG130" s="103"/>
      <c r="AH130" s="103"/>
      <c r="AI130" s="103"/>
      <c r="AJ130" s="103">
        <v>27</v>
      </c>
      <c r="AK130" s="103"/>
      <c r="AL130" s="103"/>
      <c r="AM130" s="103">
        <v>641</v>
      </c>
      <c r="AN130" s="103">
        <v>27</v>
      </c>
      <c r="AO130" s="103"/>
      <c r="AP130" s="103">
        <v>470</v>
      </c>
      <c r="AQ130" s="103">
        <v>465</v>
      </c>
      <c r="AR130" s="103"/>
      <c r="AS130" s="103"/>
      <c r="AT130" s="103"/>
      <c r="AU130" s="103"/>
      <c r="AV130" s="103"/>
      <c r="AW130" s="104" t="str">
        <f>HYPERLINK("http://www.openstreetmap.org/?mlat=33.4217&amp;mlon=43.8575&amp;zoom=12#map=12/33.4217/43.8575","Maplink1")</f>
        <v>Maplink1</v>
      </c>
      <c r="AX130" s="104" t="str">
        <f>HYPERLINK("https://www.google.iq/maps/search/+33.4217,43.8575/@33.4217,43.8575,14z?hl=en","Maplink2")</f>
        <v>Maplink2</v>
      </c>
      <c r="AY130" s="104" t="str">
        <f>HYPERLINK("http://www.bing.com/maps/?lvl=14&amp;sty=h&amp;cp=33.4217~43.8575&amp;sp=point.33.4217_43.8575","Maplink3")</f>
        <v>Maplink3</v>
      </c>
    </row>
    <row r="131" spans="1:51" x14ac:dyDescent="0.2">
      <c r="A131" s="102">
        <v>300</v>
      </c>
      <c r="B131" s="103" t="s">
        <v>29</v>
      </c>
      <c r="C131" s="103" t="s">
        <v>80</v>
      </c>
      <c r="D131" s="103" t="s">
        <v>368</v>
      </c>
      <c r="E131" s="103" t="s">
        <v>369</v>
      </c>
      <c r="F131" s="103">
        <v>33.409053138499999</v>
      </c>
      <c r="G131" s="103">
        <v>43.866518335400002</v>
      </c>
      <c r="H131" s="102">
        <v>1674</v>
      </c>
      <c r="I131" s="102">
        <v>10044</v>
      </c>
      <c r="J131" s="103"/>
      <c r="K131" s="103"/>
      <c r="L131" s="103"/>
      <c r="M131" s="103">
        <v>1674</v>
      </c>
      <c r="N131" s="103"/>
      <c r="O131" s="103"/>
      <c r="P131" s="103"/>
      <c r="Q131" s="103"/>
      <c r="R131" s="103"/>
      <c r="S131" s="103"/>
      <c r="T131" s="103"/>
      <c r="U131" s="103">
        <v>955</v>
      </c>
      <c r="V131" s="103"/>
      <c r="W131" s="103">
        <v>496</v>
      </c>
      <c r="X131" s="103"/>
      <c r="Y131" s="103"/>
      <c r="Z131" s="103"/>
      <c r="AA131" s="103">
        <v>125</v>
      </c>
      <c r="AB131" s="103"/>
      <c r="AC131" s="103">
        <v>98</v>
      </c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>
        <v>174</v>
      </c>
      <c r="AN131" s="103">
        <v>223</v>
      </c>
      <c r="AO131" s="103"/>
      <c r="AP131" s="103">
        <v>496</v>
      </c>
      <c r="AQ131" s="103">
        <v>781</v>
      </c>
      <c r="AR131" s="103"/>
      <c r="AS131" s="103"/>
      <c r="AT131" s="103"/>
      <c r="AU131" s="103"/>
      <c r="AV131" s="103"/>
      <c r="AW131" s="104" t="str">
        <f>HYPERLINK("http://www.openstreetmap.org/?mlat=33.4091&amp;mlon=43.8665&amp;zoom=12#map=12/33.4091/43.8665","Maplink1")</f>
        <v>Maplink1</v>
      </c>
      <c r="AX131" s="104" t="str">
        <f>HYPERLINK("https://www.google.iq/maps/search/+33.4091,43.8665/@33.4091,43.8665,14z?hl=en","Maplink2")</f>
        <v>Maplink2</v>
      </c>
      <c r="AY131" s="104" t="str">
        <f>HYPERLINK("http://www.bing.com/maps/?lvl=14&amp;sty=h&amp;cp=33.4091~43.8665&amp;sp=point.33.4091_43.8665","Maplink3")</f>
        <v>Maplink3</v>
      </c>
    </row>
    <row r="132" spans="1:51" x14ac:dyDescent="0.2">
      <c r="A132" s="102">
        <v>157</v>
      </c>
      <c r="B132" s="103" t="s">
        <v>29</v>
      </c>
      <c r="C132" s="103" t="s">
        <v>80</v>
      </c>
      <c r="D132" s="103" t="s">
        <v>356</v>
      </c>
      <c r="E132" s="103" t="s">
        <v>357</v>
      </c>
      <c r="F132" s="103">
        <v>33.364479317600001</v>
      </c>
      <c r="G132" s="103">
        <v>43.780521849899998</v>
      </c>
      <c r="H132" s="102">
        <v>2095</v>
      </c>
      <c r="I132" s="102">
        <v>12570</v>
      </c>
      <c r="J132" s="103"/>
      <c r="K132" s="103"/>
      <c r="L132" s="103"/>
      <c r="M132" s="103">
        <v>2095</v>
      </c>
      <c r="N132" s="103"/>
      <c r="O132" s="103"/>
      <c r="P132" s="103"/>
      <c r="Q132" s="103"/>
      <c r="R132" s="103"/>
      <c r="S132" s="103"/>
      <c r="T132" s="103"/>
      <c r="U132" s="103">
        <v>850</v>
      </c>
      <c r="V132" s="103"/>
      <c r="W132" s="103">
        <v>494</v>
      </c>
      <c r="X132" s="103"/>
      <c r="Y132" s="103"/>
      <c r="Z132" s="103"/>
      <c r="AA132" s="103">
        <v>401</v>
      </c>
      <c r="AB132" s="103"/>
      <c r="AC132" s="103">
        <v>128</v>
      </c>
      <c r="AD132" s="103"/>
      <c r="AE132" s="103"/>
      <c r="AF132" s="103"/>
      <c r="AG132" s="103"/>
      <c r="AH132" s="103"/>
      <c r="AI132" s="103">
        <v>80</v>
      </c>
      <c r="AJ132" s="103">
        <v>142</v>
      </c>
      <c r="AK132" s="103"/>
      <c r="AL132" s="103"/>
      <c r="AM132" s="103">
        <v>1214</v>
      </c>
      <c r="AN132" s="103"/>
      <c r="AO132" s="103"/>
      <c r="AP132" s="103">
        <v>180</v>
      </c>
      <c r="AQ132" s="103">
        <v>620</v>
      </c>
      <c r="AR132" s="103">
        <v>81</v>
      </c>
      <c r="AS132" s="103"/>
      <c r="AT132" s="103"/>
      <c r="AU132" s="103"/>
      <c r="AV132" s="103"/>
      <c r="AW132" s="104" t="str">
        <f>HYPERLINK("http://www.openstreetmap.org/?mlat=33.3645&amp;mlon=43.7805&amp;zoom=12#map=12/33.3645/43.7805","Maplink1")</f>
        <v>Maplink1</v>
      </c>
      <c r="AX132" s="104" t="str">
        <f>HYPERLINK("https://www.google.iq/maps/search/+33.3645,43.7805/@33.3645,43.7805,14z?hl=en","Maplink2")</f>
        <v>Maplink2</v>
      </c>
      <c r="AY132" s="104" t="str">
        <f>HYPERLINK("http://www.bing.com/maps/?lvl=14&amp;sty=h&amp;cp=33.3645~43.7805&amp;sp=point.33.3645_43.7805","Maplink3")</f>
        <v>Maplink3</v>
      </c>
    </row>
    <row r="133" spans="1:51" x14ac:dyDescent="0.2">
      <c r="A133" s="102">
        <v>21613</v>
      </c>
      <c r="B133" s="103" t="s">
        <v>29</v>
      </c>
      <c r="C133" s="103" t="s">
        <v>80</v>
      </c>
      <c r="D133" s="103" t="s">
        <v>358</v>
      </c>
      <c r="E133" s="103" t="s">
        <v>359</v>
      </c>
      <c r="F133" s="103">
        <v>33.416049999999998</v>
      </c>
      <c r="G133" s="103">
        <v>43.7278610073</v>
      </c>
      <c r="H133" s="102">
        <v>761</v>
      </c>
      <c r="I133" s="102">
        <v>4566</v>
      </c>
      <c r="J133" s="103"/>
      <c r="K133" s="103"/>
      <c r="L133" s="103"/>
      <c r="M133" s="103">
        <v>721</v>
      </c>
      <c r="N133" s="103">
        <v>40</v>
      </c>
      <c r="O133" s="103"/>
      <c r="P133" s="103"/>
      <c r="Q133" s="103"/>
      <c r="R133" s="103"/>
      <c r="S133" s="103"/>
      <c r="T133" s="103"/>
      <c r="U133" s="103">
        <v>103</v>
      </c>
      <c r="V133" s="103"/>
      <c r="W133" s="103">
        <v>205</v>
      </c>
      <c r="X133" s="103"/>
      <c r="Y133" s="103"/>
      <c r="Z133" s="103"/>
      <c r="AA133" s="103">
        <v>166</v>
      </c>
      <c r="AB133" s="103"/>
      <c r="AC133" s="103">
        <v>187</v>
      </c>
      <c r="AD133" s="103"/>
      <c r="AE133" s="103"/>
      <c r="AF133" s="103"/>
      <c r="AG133" s="103"/>
      <c r="AH133" s="103"/>
      <c r="AI133" s="103"/>
      <c r="AJ133" s="103">
        <v>100</v>
      </c>
      <c r="AK133" s="103"/>
      <c r="AL133" s="103"/>
      <c r="AM133" s="103">
        <v>389</v>
      </c>
      <c r="AN133" s="103">
        <v>90</v>
      </c>
      <c r="AO133" s="103"/>
      <c r="AP133" s="103">
        <v>187</v>
      </c>
      <c r="AQ133" s="103">
        <v>70</v>
      </c>
      <c r="AR133" s="103">
        <v>25</v>
      </c>
      <c r="AS133" s="103"/>
      <c r="AT133" s="103"/>
      <c r="AU133" s="103"/>
      <c r="AV133" s="103"/>
      <c r="AW133" s="104" t="str">
        <f>HYPERLINK("http://www.openstreetmap.org/?mlat=33.416&amp;mlon=43.7279&amp;zoom=12#map=12/33.416/43.7279","Maplink1")</f>
        <v>Maplink1</v>
      </c>
      <c r="AX133" s="104" t="str">
        <f>HYPERLINK("https://www.google.iq/maps/search/+33.416,43.7279/@33.416,43.7279,14z?hl=en","Maplink2")</f>
        <v>Maplink2</v>
      </c>
      <c r="AY133" s="104" t="str">
        <f>HYPERLINK("http://www.bing.com/maps/?lvl=14&amp;sty=h&amp;cp=33.416~43.7279&amp;sp=point.33.416_43.7279","Maplink3")</f>
        <v>Maplink3</v>
      </c>
    </row>
    <row r="134" spans="1:51" x14ac:dyDescent="0.2">
      <c r="A134" s="102">
        <v>33681</v>
      </c>
      <c r="B134" s="103" t="s">
        <v>29</v>
      </c>
      <c r="C134" s="103" t="s">
        <v>80</v>
      </c>
      <c r="D134" s="103" t="s">
        <v>360</v>
      </c>
      <c r="E134" s="103" t="s">
        <v>361</v>
      </c>
      <c r="F134" s="103">
        <v>33.39452</v>
      </c>
      <c r="G134" s="103">
        <v>43.692845178100001</v>
      </c>
      <c r="H134" s="102">
        <v>175</v>
      </c>
      <c r="I134" s="102">
        <v>1050</v>
      </c>
      <c r="J134" s="103"/>
      <c r="K134" s="103"/>
      <c r="L134" s="103"/>
      <c r="M134" s="103">
        <v>175</v>
      </c>
      <c r="N134" s="103"/>
      <c r="O134" s="103"/>
      <c r="P134" s="103"/>
      <c r="Q134" s="103"/>
      <c r="R134" s="103"/>
      <c r="S134" s="103"/>
      <c r="T134" s="103"/>
      <c r="U134" s="103">
        <v>33</v>
      </c>
      <c r="V134" s="103"/>
      <c r="W134" s="103">
        <v>44</v>
      </c>
      <c r="X134" s="103"/>
      <c r="Y134" s="103"/>
      <c r="Z134" s="103"/>
      <c r="AA134" s="103">
        <v>60</v>
      </c>
      <c r="AB134" s="103"/>
      <c r="AC134" s="103">
        <v>18</v>
      </c>
      <c r="AD134" s="103"/>
      <c r="AE134" s="103"/>
      <c r="AF134" s="103"/>
      <c r="AG134" s="103"/>
      <c r="AH134" s="103"/>
      <c r="AI134" s="103"/>
      <c r="AJ134" s="103">
        <v>20</v>
      </c>
      <c r="AK134" s="103"/>
      <c r="AL134" s="103"/>
      <c r="AM134" s="103"/>
      <c r="AN134" s="103"/>
      <c r="AO134" s="103"/>
      <c r="AP134" s="103"/>
      <c r="AQ134" s="103">
        <v>74</v>
      </c>
      <c r="AR134" s="103">
        <v>101</v>
      </c>
      <c r="AS134" s="103"/>
      <c r="AT134" s="103"/>
      <c r="AU134" s="103"/>
      <c r="AV134" s="103"/>
      <c r="AW134" s="104" t="str">
        <f>HYPERLINK("http://www.openstreetmap.org/?mlat=33.3945&amp;mlon=43.6928&amp;zoom=12#map=12/33.3945/43.6928","Maplink1")</f>
        <v>Maplink1</v>
      </c>
      <c r="AX134" s="104" t="str">
        <f>HYPERLINK("https://www.google.iq/maps/search/+33.3945,43.6928/@33.3945,43.6928,14z?hl=en","Maplink2")</f>
        <v>Maplink2</v>
      </c>
      <c r="AY134" s="104" t="str">
        <f>HYPERLINK("http://www.bing.com/maps/?lvl=14&amp;sty=h&amp;cp=33.3945~43.6928&amp;sp=point.33.3945_43.6928","Maplink3")</f>
        <v>Maplink3</v>
      </c>
    </row>
    <row r="135" spans="1:51" x14ac:dyDescent="0.2">
      <c r="A135" s="102">
        <v>33342</v>
      </c>
      <c r="B135" s="103" t="s">
        <v>29</v>
      </c>
      <c r="C135" s="103" t="s">
        <v>80</v>
      </c>
      <c r="D135" s="103" t="s">
        <v>3881</v>
      </c>
      <c r="E135" s="103" t="s">
        <v>321</v>
      </c>
      <c r="F135" s="103">
        <v>33.324210000000001</v>
      </c>
      <c r="G135" s="103">
        <v>43.7762396818</v>
      </c>
      <c r="H135" s="102">
        <v>3135</v>
      </c>
      <c r="I135" s="102">
        <v>18810</v>
      </c>
      <c r="J135" s="103"/>
      <c r="K135" s="103"/>
      <c r="L135" s="103">
        <v>57</v>
      </c>
      <c r="M135" s="103">
        <v>2047</v>
      </c>
      <c r="N135" s="103">
        <v>1031</v>
      </c>
      <c r="O135" s="103"/>
      <c r="P135" s="103"/>
      <c r="Q135" s="103"/>
      <c r="R135" s="103"/>
      <c r="S135" s="103"/>
      <c r="T135" s="103"/>
      <c r="U135" s="103">
        <v>1115</v>
      </c>
      <c r="V135" s="103"/>
      <c r="W135" s="103">
        <v>634</v>
      </c>
      <c r="X135" s="103"/>
      <c r="Y135" s="103"/>
      <c r="Z135" s="103"/>
      <c r="AA135" s="103">
        <v>639</v>
      </c>
      <c r="AB135" s="103"/>
      <c r="AC135" s="103">
        <v>403</v>
      </c>
      <c r="AD135" s="103"/>
      <c r="AE135" s="103"/>
      <c r="AF135" s="103"/>
      <c r="AG135" s="103"/>
      <c r="AH135" s="103"/>
      <c r="AI135" s="103">
        <v>93</v>
      </c>
      <c r="AJ135" s="103">
        <v>251</v>
      </c>
      <c r="AK135" s="103"/>
      <c r="AL135" s="103"/>
      <c r="AM135" s="103">
        <v>2302</v>
      </c>
      <c r="AN135" s="103">
        <v>314</v>
      </c>
      <c r="AO135" s="103"/>
      <c r="AP135" s="103">
        <v>86</v>
      </c>
      <c r="AQ135" s="103">
        <v>84</v>
      </c>
      <c r="AR135" s="103">
        <v>349</v>
      </c>
      <c r="AS135" s="103"/>
      <c r="AT135" s="103"/>
      <c r="AU135" s="103"/>
      <c r="AV135" s="103"/>
      <c r="AW135" s="104" t="str">
        <f>HYPERLINK("http://www.openstreetmap.org/?mlat=33.3242&amp;mlon=43.7762&amp;zoom=12#map=12/33.3242/43.7762","Maplink1")</f>
        <v>Maplink1</v>
      </c>
      <c r="AX135" s="104" t="str">
        <f>HYPERLINK("https://www.google.iq/maps/search/+33.3242,43.7762/@33.3242,43.7762,14z?hl=en","Maplink2")</f>
        <v>Maplink2</v>
      </c>
      <c r="AY135" s="104" t="str">
        <f>HYPERLINK("http://www.bing.com/maps/?lvl=14&amp;sty=h&amp;cp=33.3242~43.7762&amp;sp=point.33.3242_43.7762","Maplink3")</f>
        <v>Maplink3</v>
      </c>
    </row>
    <row r="136" spans="1:51" x14ac:dyDescent="0.2">
      <c r="A136" s="102">
        <v>20937</v>
      </c>
      <c r="B136" s="103" t="s">
        <v>29</v>
      </c>
      <c r="C136" s="103" t="s">
        <v>80</v>
      </c>
      <c r="D136" s="103" t="s">
        <v>279</v>
      </c>
      <c r="E136" s="103" t="s">
        <v>280</v>
      </c>
      <c r="F136" s="103">
        <v>33.425001050299997</v>
      </c>
      <c r="G136" s="103">
        <v>43.889468405400002</v>
      </c>
      <c r="H136" s="102">
        <v>370</v>
      </c>
      <c r="I136" s="102">
        <v>2220</v>
      </c>
      <c r="J136" s="103"/>
      <c r="K136" s="103"/>
      <c r="L136" s="103"/>
      <c r="M136" s="103">
        <v>370</v>
      </c>
      <c r="N136" s="103"/>
      <c r="O136" s="103"/>
      <c r="P136" s="103"/>
      <c r="Q136" s="103"/>
      <c r="R136" s="103"/>
      <c r="S136" s="103"/>
      <c r="T136" s="103"/>
      <c r="U136" s="103">
        <v>239</v>
      </c>
      <c r="V136" s="103"/>
      <c r="W136" s="103">
        <v>2</v>
      </c>
      <c r="X136" s="103"/>
      <c r="Y136" s="103"/>
      <c r="Z136" s="103"/>
      <c r="AA136" s="103"/>
      <c r="AB136" s="103"/>
      <c r="AC136" s="103">
        <v>129</v>
      </c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103">
        <v>121</v>
      </c>
      <c r="AO136" s="103"/>
      <c r="AP136" s="103">
        <v>90</v>
      </c>
      <c r="AQ136" s="103">
        <v>128</v>
      </c>
      <c r="AR136" s="103">
        <v>31</v>
      </c>
      <c r="AS136" s="103"/>
      <c r="AT136" s="103"/>
      <c r="AU136" s="103"/>
      <c r="AV136" s="103"/>
      <c r="AW136" s="104" t="str">
        <f>HYPERLINK("http://www.openstreetmap.org/?mlat=33.425&amp;mlon=43.8895&amp;zoom=12#map=12/33.425/43.8895","Maplink1")</f>
        <v>Maplink1</v>
      </c>
      <c r="AX136" s="104" t="str">
        <f>HYPERLINK("https://www.google.iq/maps/search/+33.425,43.8895/@33.425,43.8895,14z?hl=en","Maplink2")</f>
        <v>Maplink2</v>
      </c>
      <c r="AY136" s="104" t="str">
        <f>HYPERLINK("http://www.bing.com/maps/?lvl=14&amp;sty=h&amp;cp=33.425~43.8895&amp;sp=point.33.425_43.8895","Maplink3")</f>
        <v>Maplink3</v>
      </c>
    </row>
    <row r="137" spans="1:51" x14ac:dyDescent="0.2">
      <c r="A137" s="102">
        <v>21809</v>
      </c>
      <c r="B137" s="103" t="s">
        <v>29</v>
      </c>
      <c r="C137" s="103" t="s">
        <v>80</v>
      </c>
      <c r="D137" s="103" t="s">
        <v>156</v>
      </c>
      <c r="E137" s="103" t="s">
        <v>157</v>
      </c>
      <c r="F137" s="103">
        <v>33.322510000000001</v>
      </c>
      <c r="G137" s="103">
        <v>43.7926572561</v>
      </c>
      <c r="H137" s="102">
        <v>2885</v>
      </c>
      <c r="I137" s="102">
        <v>17310</v>
      </c>
      <c r="J137" s="103"/>
      <c r="K137" s="103"/>
      <c r="L137" s="103"/>
      <c r="M137" s="103">
        <v>2838</v>
      </c>
      <c r="N137" s="103">
        <v>47</v>
      </c>
      <c r="O137" s="103"/>
      <c r="P137" s="103"/>
      <c r="Q137" s="103"/>
      <c r="R137" s="103"/>
      <c r="S137" s="103"/>
      <c r="T137" s="103"/>
      <c r="U137" s="103">
        <v>1179</v>
      </c>
      <c r="V137" s="103"/>
      <c r="W137" s="103">
        <v>1044</v>
      </c>
      <c r="X137" s="103"/>
      <c r="Y137" s="103"/>
      <c r="Z137" s="103"/>
      <c r="AA137" s="103">
        <v>278</v>
      </c>
      <c r="AB137" s="103"/>
      <c r="AC137" s="103">
        <v>184</v>
      </c>
      <c r="AD137" s="103"/>
      <c r="AE137" s="103"/>
      <c r="AF137" s="103"/>
      <c r="AG137" s="103"/>
      <c r="AH137" s="103"/>
      <c r="AI137" s="103"/>
      <c r="AJ137" s="103">
        <v>200</v>
      </c>
      <c r="AK137" s="103"/>
      <c r="AL137" s="103"/>
      <c r="AM137" s="103">
        <v>982</v>
      </c>
      <c r="AN137" s="103">
        <v>252</v>
      </c>
      <c r="AO137" s="103"/>
      <c r="AP137" s="103">
        <v>435</v>
      </c>
      <c r="AQ137" s="103">
        <v>127</v>
      </c>
      <c r="AR137" s="103">
        <v>1089</v>
      </c>
      <c r="AS137" s="103"/>
      <c r="AT137" s="103"/>
      <c r="AU137" s="103"/>
      <c r="AV137" s="103"/>
      <c r="AW137" s="104" t="str">
        <f>HYPERLINK("http://www.openstreetmap.org/?mlat=33.3225&amp;mlon=43.7927&amp;zoom=12#map=12/33.3225/43.7927","Maplink1")</f>
        <v>Maplink1</v>
      </c>
      <c r="AX137" s="104" t="str">
        <f>HYPERLINK("https://www.google.iq/maps/search/+33.3225,43.7927/@33.3225,43.7927,14z?hl=en","Maplink2")</f>
        <v>Maplink2</v>
      </c>
      <c r="AY137" s="104" t="str">
        <f>HYPERLINK("http://www.bing.com/maps/?lvl=14&amp;sty=h&amp;cp=33.3225~43.7927&amp;sp=point.33.3225_43.7927","Maplink3")</f>
        <v>Maplink3</v>
      </c>
    </row>
    <row r="138" spans="1:51" x14ac:dyDescent="0.2">
      <c r="A138" s="102">
        <v>33819</v>
      </c>
      <c r="B138" s="103" t="s">
        <v>29</v>
      </c>
      <c r="C138" s="103" t="s">
        <v>81</v>
      </c>
      <c r="D138" s="103" t="s">
        <v>445</v>
      </c>
      <c r="E138" s="103" t="s">
        <v>446</v>
      </c>
      <c r="F138" s="103">
        <v>34.092739999999999</v>
      </c>
      <c r="G138" s="103">
        <v>42.383609999999997</v>
      </c>
      <c r="H138" s="102">
        <v>250</v>
      </c>
      <c r="I138" s="102">
        <v>1500</v>
      </c>
      <c r="J138" s="103"/>
      <c r="K138" s="103"/>
      <c r="L138" s="103"/>
      <c r="M138" s="103">
        <v>250</v>
      </c>
      <c r="N138" s="103"/>
      <c r="O138" s="103"/>
      <c r="P138" s="103"/>
      <c r="Q138" s="103"/>
      <c r="R138" s="103"/>
      <c r="S138" s="103"/>
      <c r="T138" s="103"/>
      <c r="U138" s="103">
        <v>195</v>
      </c>
      <c r="V138" s="103"/>
      <c r="W138" s="103"/>
      <c r="X138" s="103"/>
      <c r="Y138" s="103"/>
      <c r="Z138" s="103"/>
      <c r="AA138" s="103">
        <v>35</v>
      </c>
      <c r="AB138" s="103"/>
      <c r="AC138" s="103"/>
      <c r="AD138" s="103"/>
      <c r="AE138" s="103"/>
      <c r="AF138" s="103"/>
      <c r="AG138" s="103"/>
      <c r="AH138" s="103"/>
      <c r="AI138" s="103">
        <v>20</v>
      </c>
      <c r="AJ138" s="103"/>
      <c r="AK138" s="103"/>
      <c r="AL138" s="103"/>
      <c r="AM138" s="103"/>
      <c r="AN138" s="103">
        <v>250</v>
      </c>
      <c r="AO138" s="103"/>
      <c r="AP138" s="103"/>
      <c r="AQ138" s="103"/>
      <c r="AR138" s="103"/>
      <c r="AS138" s="103"/>
      <c r="AT138" s="103"/>
      <c r="AU138" s="103"/>
      <c r="AV138" s="103"/>
      <c r="AW138" s="104" t="str">
        <f>HYPERLINK("http://www.openstreetmap.org/?mlat=34.0927&amp;mlon=42.3836&amp;zoom=12#map=12/34.0927/42.3836","Maplink1")</f>
        <v>Maplink1</v>
      </c>
      <c r="AX138" s="104" t="str">
        <f>HYPERLINK("https://www.google.iq/maps/search/+34.0927,42.3836/@34.0927,42.3836,14z?hl=en","Maplink2")</f>
        <v>Maplink2</v>
      </c>
      <c r="AY138" s="104" t="str">
        <f>HYPERLINK("http://www.bing.com/maps/?lvl=14&amp;sty=h&amp;cp=34.0927~42.3836&amp;sp=point.34.0927_42.3836","Maplink3")</f>
        <v>Maplink3</v>
      </c>
    </row>
    <row r="139" spans="1:51" x14ac:dyDescent="0.2">
      <c r="A139" s="102">
        <v>24316</v>
      </c>
      <c r="B139" s="103" t="s">
        <v>29</v>
      </c>
      <c r="C139" s="103" t="s">
        <v>81</v>
      </c>
      <c r="D139" s="103" t="s">
        <v>259</v>
      </c>
      <c r="E139" s="103" t="s">
        <v>149</v>
      </c>
      <c r="F139" s="103">
        <v>34.089287152399997</v>
      </c>
      <c r="G139" s="103">
        <v>42.357475855399997</v>
      </c>
      <c r="H139" s="102">
        <v>21</v>
      </c>
      <c r="I139" s="102">
        <v>126</v>
      </c>
      <c r="J139" s="103"/>
      <c r="K139" s="103"/>
      <c r="L139" s="103"/>
      <c r="M139" s="103">
        <v>21</v>
      </c>
      <c r="N139" s="103"/>
      <c r="O139" s="103"/>
      <c r="P139" s="103"/>
      <c r="Q139" s="103"/>
      <c r="R139" s="103"/>
      <c r="S139" s="103"/>
      <c r="T139" s="103"/>
      <c r="U139" s="103">
        <v>15</v>
      </c>
      <c r="V139" s="103"/>
      <c r="W139" s="103"/>
      <c r="X139" s="103"/>
      <c r="Y139" s="103"/>
      <c r="Z139" s="103"/>
      <c r="AA139" s="103">
        <v>4</v>
      </c>
      <c r="AB139" s="103"/>
      <c r="AC139" s="103">
        <v>2</v>
      </c>
      <c r="AD139" s="103"/>
      <c r="AE139" s="103"/>
      <c r="AF139" s="103"/>
      <c r="AG139" s="103"/>
      <c r="AH139" s="103"/>
      <c r="AI139" s="103"/>
      <c r="AJ139" s="103"/>
      <c r="AK139" s="103"/>
      <c r="AL139" s="103"/>
      <c r="AM139" s="103"/>
      <c r="AN139" s="103">
        <v>21</v>
      </c>
      <c r="AO139" s="103"/>
      <c r="AP139" s="103"/>
      <c r="AQ139" s="103"/>
      <c r="AR139" s="103"/>
      <c r="AS139" s="103"/>
      <c r="AT139" s="103"/>
      <c r="AU139" s="103"/>
      <c r="AV139" s="103"/>
      <c r="AW139" s="104" t="str">
        <f>HYPERLINK("http://www.openstreetmap.org/?mlat=34.0893&amp;mlon=42.3575&amp;zoom=12#map=12/34.0893/42.3575","Maplink1")</f>
        <v>Maplink1</v>
      </c>
      <c r="AX139" s="104" t="str">
        <f>HYPERLINK("https://www.google.iq/maps/search/+34.0893,42.3575/@34.0893,42.3575,14z?hl=en","Maplink2")</f>
        <v>Maplink2</v>
      </c>
      <c r="AY139" s="104" t="str">
        <f>HYPERLINK("http://www.bing.com/maps/?lvl=14&amp;sty=h&amp;cp=34.0893~42.3575&amp;sp=point.34.0893_42.3575","Maplink3")</f>
        <v>Maplink3</v>
      </c>
    </row>
    <row r="140" spans="1:51" x14ac:dyDescent="0.2">
      <c r="A140" s="102">
        <v>23811</v>
      </c>
      <c r="B140" s="103" t="s">
        <v>29</v>
      </c>
      <c r="C140" s="103" t="s">
        <v>81</v>
      </c>
      <c r="D140" s="103" t="s">
        <v>425</v>
      </c>
      <c r="E140" s="103" t="s">
        <v>426</v>
      </c>
      <c r="F140" s="103">
        <v>34.095479562500003</v>
      </c>
      <c r="G140" s="103">
        <v>42.380439726500001</v>
      </c>
      <c r="H140" s="102">
        <v>210</v>
      </c>
      <c r="I140" s="102">
        <v>1260</v>
      </c>
      <c r="J140" s="103"/>
      <c r="K140" s="103"/>
      <c r="L140" s="103"/>
      <c r="M140" s="103">
        <v>210</v>
      </c>
      <c r="N140" s="103"/>
      <c r="O140" s="103"/>
      <c r="P140" s="103"/>
      <c r="Q140" s="103"/>
      <c r="R140" s="103"/>
      <c r="S140" s="103"/>
      <c r="T140" s="103"/>
      <c r="U140" s="103">
        <v>79</v>
      </c>
      <c r="V140" s="103"/>
      <c r="W140" s="103">
        <v>44</v>
      </c>
      <c r="X140" s="103"/>
      <c r="Y140" s="103"/>
      <c r="Z140" s="103"/>
      <c r="AA140" s="103">
        <v>35</v>
      </c>
      <c r="AB140" s="103"/>
      <c r="AC140" s="103"/>
      <c r="AD140" s="103"/>
      <c r="AE140" s="103"/>
      <c r="AF140" s="103"/>
      <c r="AG140" s="103">
        <v>6</v>
      </c>
      <c r="AH140" s="103"/>
      <c r="AI140" s="103">
        <v>35</v>
      </c>
      <c r="AJ140" s="103">
        <v>11</v>
      </c>
      <c r="AK140" s="103"/>
      <c r="AL140" s="103"/>
      <c r="AM140" s="103"/>
      <c r="AN140" s="103">
        <v>204</v>
      </c>
      <c r="AO140" s="103"/>
      <c r="AP140" s="103"/>
      <c r="AQ140" s="103"/>
      <c r="AR140" s="103"/>
      <c r="AS140" s="103"/>
      <c r="AT140" s="103">
        <v>6</v>
      </c>
      <c r="AU140" s="103"/>
      <c r="AV140" s="103"/>
      <c r="AW140" s="104" t="str">
        <f>HYPERLINK("http://www.openstreetmap.org/?mlat=34.0955&amp;mlon=42.3804&amp;zoom=12#map=12/34.0955/42.3804","Maplink1")</f>
        <v>Maplink1</v>
      </c>
      <c r="AX140" s="104" t="str">
        <f>HYPERLINK("https://www.google.iq/maps/search/+34.0955,42.3804/@34.0955,42.3804,14z?hl=en","Maplink2")</f>
        <v>Maplink2</v>
      </c>
      <c r="AY140" s="104" t="str">
        <f>HYPERLINK("http://www.bing.com/maps/?lvl=14&amp;sty=h&amp;cp=34.0955~42.3804&amp;sp=point.34.0955_42.3804","Maplink3")</f>
        <v>Maplink3</v>
      </c>
    </row>
    <row r="141" spans="1:51" x14ac:dyDescent="0.2">
      <c r="A141" s="102">
        <v>24315</v>
      </c>
      <c r="B141" s="103" t="s">
        <v>29</v>
      </c>
      <c r="C141" s="103" t="s">
        <v>81</v>
      </c>
      <c r="D141" s="103" t="s">
        <v>415</v>
      </c>
      <c r="E141" s="103" t="s">
        <v>416</v>
      </c>
      <c r="F141" s="103">
        <v>34.087112533899997</v>
      </c>
      <c r="G141" s="103">
        <v>42.376353000000002</v>
      </c>
      <c r="H141" s="102">
        <v>260</v>
      </c>
      <c r="I141" s="102">
        <v>1560</v>
      </c>
      <c r="J141" s="103"/>
      <c r="K141" s="103"/>
      <c r="L141" s="103"/>
      <c r="M141" s="103">
        <v>260</v>
      </c>
      <c r="N141" s="103"/>
      <c r="O141" s="103"/>
      <c r="P141" s="103"/>
      <c r="Q141" s="103"/>
      <c r="R141" s="103"/>
      <c r="S141" s="103"/>
      <c r="T141" s="103"/>
      <c r="U141" s="103">
        <v>160</v>
      </c>
      <c r="V141" s="103"/>
      <c r="W141" s="103">
        <v>70</v>
      </c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>
        <v>30</v>
      </c>
      <c r="AJ141" s="103"/>
      <c r="AK141" s="103"/>
      <c r="AL141" s="103"/>
      <c r="AM141" s="103"/>
      <c r="AN141" s="103">
        <v>260</v>
      </c>
      <c r="AO141" s="103"/>
      <c r="AP141" s="103"/>
      <c r="AQ141" s="103"/>
      <c r="AR141" s="103"/>
      <c r="AS141" s="103"/>
      <c r="AT141" s="103"/>
      <c r="AU141" s="103"/>
      <c r="AV141" s="103"/>
      <c r="AW141" s="104" t="str">
        <f>HYPERLINK("http://www.openstreetmap.org/?mlat=34.0871&amp;mlon=42.3764&amp;zoom=12#map=12/34.0871/42.3764","Maplink1")</f>
        <v>Maplink1</v>
      </c>
      <c r="AX141" s="104" t="str">
        <f>HYPERLINK("https://www.google.iq/maps/search/+34.0871,42.3764/@34.0871,42.3764,14z?hl=en","Maplink2")</f>
        <v>Maplink2</v>
      </c>
      <c r="AY141" s="104" t="str">
        <f>HYPERLINK("http://www.bing.com/maps/?lvl=14&amp;sty=h&amp;cp=34.0871~42.3764&amp;sp=point.34.0871_42.3764","Maplink3")</f>
        <v>Maplink3</v>
      </c>
    </row>
    <row r="142" spans="1:51" x14ac:dyDescent="0.2">
      <c r="A142" s="102">
        <v>23819</v>
      </c>
      <c r="B142" s="103" t="s">
        <v>29</v>
      </c>
      <c r="C142" s="103" t="s">
        <v>81</v>
      </c>
      <c r="D142" s="103" t="s">
        <v>427</v>
      </c>
      <c r="E142" s="103" t="s">
        <v>428</v>
      </c>
      <c r="F142" s="103">
        <v>34.087734075699998</v>
      </c>
      <c r="G142" s="103">
        <v>42.365849051300003</v>
      </c>
      <c r="H142" s="102">
        <v>38</v>
      </c>
      <c r="I142" s="102">
        <v>228</v>
      </c>
      <c r="J142" s="103"/>
      <c r="K142" s="103"/>
      <c r="L142" s="103"/>
      <c r="M142" s="103">
        <v>38</v>
      </c>
      <c r="N142" s="103"/>
      <c r="O142" s="103"/>
      <c r="P142" s="103"/>
      <c r="Q142" s="103"/>
      <c r="R142" s="103"/>
      <c r="S142" s="103"/>
      <c r="T142" s="103"/>
      <c r="U142" s="103">
        <v>11</v>
      </c>
      <c r="V142" s="103"/>
      <c r="W142" s="103">
        <v>2</v>
      </c>
      <c r="X142" s="103"/>
      <c r="Y142" s="103"/>
      <c r="Z142" s="103"/>
      <c r="AA142" s="103">
        <v>25</v>
      </c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3"/>
      <c r="AM142" s="103"/>
      <c r="AN142" s="103">
        <v>38</v>
      </c>
      <c r="AO142" s="103"/>
      <c r="AP142" s="103"/>
      <c r="AQ142" s="103"/>
      <c r="AR142" s="103"/>
      <c r="AS142" s="103"/>
      <c r="AT142" s="103"/>
      <c r="AU142" s="103"/>
      <c r="AV142" s="103"/>
      <c r="AW142" s="104" t="str">
        <f>HYPERLINK("http://www.openstreetmap.org/?mlat=34.0877&amp;mlon=42.3658&amp;zoom=12#map=12/34.0877/42.3658","Maplink1")</f>
        <v>Maplink1</v>
      </c>
      <c r="AX142" s="104" t="str">
        <f>HYPERLINK("https://www.google.iq/maps/search/+34.0877,42.3658/@34.0877,42.3658,14z?hl=en","Maplink2")</f>
        <v>Maplink2</v>
      </c>
      <c r="AY142" s="104" t="str">
        <f>HYPERLINK("http://www.bing.com/maps/?lvl=14&amp;sty=h&amp;cp=34.0877~42.3658&amp;sp=point.34.0877_42.3658","Maplink3")</f>
        <v>Maplink3</v>
      </c>
    </row>
    <row r="143" spans="1:51" x14ac:dyDescent="0.2">
      <c r="A143" s="102">
        <v>24110</v>
      </c>
      <c r="B143" s="103" t="s">
        <v>29</v>
      </c>
      <c r="C143" s="103" t="s">
        <v>81</v>
      </c>
      <c r="D143" s="103" t="s">
        <v>429</v>
      </c>
      <c r="E143" s="103" t="s">
        <v>383</v>
      </c>
      <c r="F143" s="103">
        <v>34.082760712599999</v>
      </c>
      <c r="G143" s="103">
        <v>42.369179000000003</v>
      </c>
      <c r="H143" s="102">
        <v>32</v>
      </c>
      <c r="I143" s="102">
        <v>192</v>
      </c>
      <c r="J143" s="103"/>
      <c r="K143" s="103"/>
      <c r="L143" s="103"/>
      <c r="M143" s="103">
        <v>32</v>
      </c>
      <c r="N143" s="103"/>
      <c r="O143" s="103"/>
      <c r="P143" s="103"/>
      <c r="Q143" s="103"/>
      <c r="R143" s="103"/>
      <c r="S143" s="103"/>
      <c r="T143" s="103"/>
      <c r="U143" s="103">
        <v>12</v>
      </c>
      <c r="V143" s="103"/>
      <c r="W143" s="103">
        <v>12</v>
      </c>
      <c r="X143" s="103"/>
      <c r="Y143" s="103"/>
      <c r="Z143" s="103"/>
      <c r="AA143" s="103">
        <v>8</v>
      </c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3"/>
      <c r="AM143" s="103"/>
      <c r="AN143" s="103">
        <v>32</v>
      </c>
      <c r="AO143" s="103"/>
      <c r="AP143" s="103"/>
      <c r="AQ143" s="103"/>
      <c r="AR143" s="103"/>
      <c r="AS143" s="103"/>
      <c r="AT143" s="103"/>
      <c r="AU143" s="103"/>
      <c r="AV143" s="103"/>
      <c r="AW143" s="104" t="str">
        <f>HYPERLINK("http://www.openstreetmap.org/?mlat=34.0828&amp;mlon=42.3692&amp;zoom=12#map=12/34.0828/42.3692","Maplink1")</f>
        <v>Maplink1</v>
      </c>
      <c r="AX143" s="104" t="str">
        <f>HYPERLINK("https://www.google.iq/maps/search/+34.0828,42.3692/@34.0828,42.3692,14z?hl=en","Maplink2")</f>
        <v>Maplink2</v>
      </c>
      <c r="AY143" s="104" t="str">
        <f>HYPERLINK("http://www.bing.com/maps/?lvl=14&amp;sty=h&amp;cp=34.0828~42.3692&amp;sp=point.34.0828_42.3692","Maplink3")</f>
        <v>Maplink3</v>
      </c>
    </row>
    <row r="144" spans="1:51" x14ac:dyDescent="0.2">
      <c r="A144" s="102">
        <v>24322</v>
      </c>
      <c r="B144" s="103" t="s">
        <v>29</v>
      </c>
      <c r="C144" s="103" t="s">
        <v>81</v>
      </c>
      <c r="D144" s="103" t="s">
        <v>419</v>
      </c>
      <c r="E144" s="103" t="s">
        <v>420</v>
      </c>
      <c r="F144" s="103">
        <v>34.047409177299997</v>
      </c>
      <c r="G144" s="103">
        <v>42.404384999999998</v>
      </c>
      <c r="H144" s="102">
        <v>144</v>
      </c>
      <c r="I144" s="102">
        <v>864</v>
      </c>
      <c r="J144" s="103"/>
      <c r="K144" s="103"/>
      <c r="L144" s="103"/>
      <c r="M144" s="103">
        <v>144</v>
      </c>
      <c r="N144" s="103"/>
      <c r="O144" s="103"/>
      <c r="P144" s="103"/>
      <c r="Q144" s="103"/>
      <c r="R144" s="103"/>
      <c r="S144" s="103"/>
      <c r="T144" s="103"/>
      <c r="U144" s="103">
        <v>109</v>
      </c>
      <c r="V144" s="103"/>
      <c r="W144" s="103">
        <v>35</v>
      </c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103">
        <v>144</v>
      </c>
      <c r="AO144" s="103"/>
      <c r="AP144" s="103"/>
      <c r="AQ144" s="103"/>
      <c r="AR144" s="103"/>
      <c r="AS144" s="103"/>
      <c r="AT144" s="103"/>
      <c r="AU144" s="103"/>
      <c r="AV144" s="103"/>
      <c r="AW144" s="104" t="str">
        <f>HYPERLINK("http://www.openstreetmap.org/?mlat=34.0474&amp;mlon=42.4044&amp;zoom=12#map=12/34.0474/42.4044","Maplink1")</f>
        <v>Maplink1</v>
      </c>
      <c r="AX144" s="104" t="str">
        <f>HYPERLINK("https://www.google.iq/maps/search/+34.0474,42.4044/@34.0474,42.4044,14z?hl=en","Maplink2")</f>
        <v>Maplink2</v>
      </c>
      <c r="AY144" s="104" t="str">
        <f>HYPERLINK("http://www.bing.com/maps/?lvl=14&amp;sty=h&amp;cp=34.0474~42.4044&amp;sp=point.34.0474_42.4044","Maplink3")</f>
        <v>Maplink3</v>
      </c>
    </row>
    <row r="145" spans="1:51" x14ac:dyDescent="0.2">
      <c r="A145" s="102">
        <v>23812</v>
      </c>
      <c r="B145" s="103" t="s">
        <v>29</v>
      </c>
      <c r="C145" s="103" t="s">
        <v>81</v>
      </c>
      <c r="D145" s="103" t="s">
        <v>410</v>
      </c>
      <c r="E145" s="103" t="s">
        <v>411</v>
      </c>
      <c r="F145" s="103">
        <v>34.0838175182</v>
      </c>
      <c r="G145" s="103">
        <v>42.385637154900003</v>
      </c>
      <c r="H145" s="102">
        <v>220</v>
      </c>
      <c r="I145" s="102">
        <v>1320</v>
      </c>
      <c r="J145" s="103"/>
      <c r="K145" s="103"/>
      <c r="L145" s="103"/>
      <c r="M145" s="103">
        <v>220</v>
      </c>
      <c r="N145" s="103"/>
      <c r="O145" s="103"/>
      <c r="P145" s="103"/>
      <c r="Q145" s="103"/>
      <c r="R145" s="103"/>
      <c r="S145" s="103"/>
      <c r="T145" s="103"/>
      <c r="U145" s="103">
        <v>140</v>
      </c>
      <c r="V145" s="103"/>
      <c r="W145" s="103">
        <v>60</v>
      </c>
      <c r="X145" s="103"/>
      <c r="Y145" s="103"/>
      <c r="Z145" s="103"/>
      <c r="AA145" s="103">
        <v>10</v>
      </c>
      <c r="AB145" s="103">
        <v>10</v>
      </c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3"/>
      <c r="AM145" s="103"/>
      <c r="AN145" s="103">
        <v>220</v>
      </c>
      <c r="AO145" s="103"/>
      <c r="AP145" s="103"/>
      <c r="AQ145" s="103"/>
      <c r="AR145" s="103"/>
      <c r="AS145" s="103"/>
      <c r="AT145" s="103"/>
      <c r="AU145" s="103"/>
      <c r="AV145" s="103"/>
      <c r="AW145" s="104" t="str">
        <f>HYPERLINK("http://www.openstreetmap.org/?mlat=34.0838&amp;mlon=42.3856&amp;zoom=12#map=12/34.0838/42.3856","Maplink1")</f>
        <v>Maplink1</v>
      </c>
      <c r="AX145" s="104" t="str">
        <f>HYPERLINK("https://www.google.iq/maps/search/+34.0838,42.3856/@34.0838,42.3856,14z?hl=en","Maplink2")</f>
        <v>Maplink2</v>
      </c>
      <c r="AY145" s="104" t="str">
        <f>HYPERLINK("http://www.bing.com/maps/?lvl=14&amp;sty=h&amp;cp=34.0838~42.3856&amp;sp=point.34.0838_42.3856","Maplink3")</f>
        <v>Maplink3</v>
      </c>
    </row>
    <row r="146" spans="1:51" x14ac:dyDescent="0.2">
      <c r="A146" s="102">
        <v>33818</v>
      </c>
      <c r="B146" s="103" t="s">
        <v>29</v>
      </c>
      <c r="C146" s="103" t="s">
        <v>81</v>
      </c>
      <c r="D146" s="103" t="s">
        <v>412</v>
      </c>
      <c r="E146" s="103" t="s">
        <v>413</v>
      </c>
      <c r="F146" s="103">
        <v>34.258341000000001</v>
      </c>
      <c r="G146" s="103">
        <v>42.203820999999998</v>
      </c>
      <c r="H146" s="102">
        <v>59</v>
      </c>
      <c r="I146" s="102">
        <v>354</v>
      </c>
      <c r="J146" s="103"/>
      <c r="K146" s="103"/>
      <c r="L146" s="103"/>
      <c r="M146" s="103"/>
      <c r="N146" s="103">
        <v>59</v>
      </c>
      <c r="O146" s="103"/>
      <c r="P146" s="103"/>
      <c r="Q146" s="103"/>
      <c r="R146" s="103"/>
      <c r="S146" s="103"/>
      <c r="T146" s="103"/>
      <c r="U146" s="103">
        <v>54</v>
      </c>
      <c r="V146" s="103"/>
      <c r="W146" s="103"/>
      <c r="X146" s="103"/>
      <c r="Y146" s="103"/>
      <c r="Z146" s="103"/>
      <c r="AA146" s="103">
        <v>5</v>
      </c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>
        <v>59</v>
      </c>
      <c r="AO146" s="103"/>
      <c r="AP146" s="103"/>
      <c r="AQ146" s="103"/>
      <c r="AR146" s="103"/>
      <c r="AS146" s="103"/>
      <c r="AT146" s="103"/>
      <c r="AU146" s="103"/>
      <c r="AV146" s="103"/>
      <c r="AW146" s="104" t="str">
        <f>HYPERLINK("http://www.openstreetmap.org/?mlat=34.2583&amp;mlon=42.2038&amp;zoom=12#map=12/34.2583/42.2038","Maplink1")</f>
        <v>Maplink1</v>
      </c>
      <c r="AX146" s="104" t="str">
        <f>HYPERLINK("https://www.google.iq/maps/search/+34.2583,42.2038/@34.2583,42.2038,14z?hl=en","Maplink2")</f>
        <v>Maplink2</v>
      </c>
      <c r="AY146" s="104" t="str">
        <f>HYPERLINK("http://www.bing.com/maps/?lvl=14&amp;sty=h&amp;cp=34.2583~42.2038&amp;sp=point.34.2583_42.2038","Maplink3")</f>
        <v>Maplink3</v>
      </c>
    </row>
    <row r="147" spans="1:51" x14ac:dyDescent="0.2">
      <c r="A147" s="102">
        <v>33820</v>
      </c>
      <c r="B147" s="103" t="s">
        <v>29</v>
      </c>
      <c r="C147" s="103" t="s">
        <v>81</v>
      </c>
      <c r="D147" s="103" t="s">
        <v>414</v>
      </c>
      <c r="E147" s="103" t="s">
        <v>149</v>
      </c>
      <c r="F147" s="103">
        <v>34.089799999999997</v>
      </c>
      <c r="G147" s="103">
        <v>42.381230000000002</v>
      </c>
      <c r="H147" s="102">
        <v>143</v>
      </c>
      <c r="I147" s="102">
        <v>858</v>
      </c>
      <c r="J147" s="103"/>
      <c r="K147" s="103"/>
      <c r="L147" s="103"/>
      <c r="M147" s="103">
        <v>143</v>
      </c>
      <c r="N147" s="103"/>
      <c r="O147" s="103"/>
      <c r="P147" s="103"/>
      <c r="Q147" s="103"/>
      <c r="R147" s="103"/>
      <c r="S147" s="103"/>
      <c r="T147" s="103"/>
      <c r="U147" s="103">
        <v>85</v>
      </c>
      <c r="V147" s="103"/>
      <c r="W147" s="103"/>
      <c r="X147" s="103"/>
      <c r="Y147" s="103"/>
      <c r="Z147" s="103"/>
      <c r="AA147" s="103">
        <v>23</v>
      </c>
      <c r="AB147" s="103"/>
      <c r="AC147" s="103"/>
      <c r="AD147" s="103"/>
      <c r="AE147" s="103"/>
      <c r="AF147" s="103"/>
      <c r="AG147" s="103"/>
      <c r="AH147" s="103"/>
      <c r="AI147" s="103">
        <v>35</v>
      </c>
      <c r="AJ147" s="103"/>
      <c r="AK147" s="103"/>
      <c r="AL147" s="103"/>
      <c r="AM147" s="103"/>
      <c r="AN147" s="103">
        <v>143</v>
      </c>
      <c r="AO147" s="103"/>
      <c r="AP147" s="103"/>
      <c r="AQ147" s="103"/>
      <c r="AR147" s="103"/>
      <c r="AS147" s="103"/>
      <c r="AT147" s="103"/>
      <c r="AU147" s="103"/>
      <c r="AV147" s="103"/>
      <c r="AW147" s="104" t="str">
        <f>HYPERLINK("http://www.openstreetmap.org/?mlat=34.0898&amp;mlon=42.3812&amp;zoom=12#map=12/34.0898/42.3812","Maplink1")</f>
        <v>Maplink1</v>
      </c>
      <c r="AX147" s="104" t="str">
        <f>HYPERLINK("https://www.google.iq/maps/search/+34.0898,42.3812/@34.0898,42.3812,14z?hl=en","Maplink2")</f>
        <v>Maplink2</v>
      </c>
      <c r="AY147" s="104" t="str">
        <f>HYPERLINK("http://www.bing.com/maps/?lvl=14&amp;sty=h&amp;cp=34.0898~42.3812&amp;sp=point.34.0898_42.3812","Maplink3")</f>
        <v>Maplink3</v>
      </c>
    </row>
    <row r="148" spans="1:51" x14ac:dyDescent="0.2">
      <c r="A148" s="102">
        <v>23813</v>
      </c>
      <c r="B148" s="103" t="s">
        <v>29</v>
      </c>
      <c r="C148" s="103" t="s">
        <v>81</v>
      </c>
      <c r="D148" s="103" t="s">
        <v>156</v>
      </c>
      <c r="E148" s="103" t="s">
        <v>157</v>
      </c>
      <c r="F148" s="103">
        <v>34.0926043308</v>
      </c>
      <c r="G148" s="103">
        <v>42.397337</v>
      </c>
      <c r="H148" s="102">
        <v>115</v>
      </c>
      <c r="I148" s="102">
        <v>690</v>
      </c>
      <c r="J148" s="103"/>
      <c r="K148" s="103"/>
      <c r="L148" s="103"/>
      <c r="M148" s="103">
        <v>115</v>
      </c>
      <c r="N148" s="103"/>
      <c r="O148" s="103"/>
      <c r="P148" s="103"/>
      <c r="Q148" s="103"/>
      <c r="R148" s="103"/>
      <c r="S148" s="103"/>
      <c r="T148" s="103"/>
      <c r="U148" s="103">
        <v>55</v>
      </c>
      <c r="V148" s="103"/>
      <c r="W148" s="103"/>
      <c r="X148" s="103"/>
      <c r="Y148" s="103"/>
      <c r="Z148" s="103"/>
      <c r="AA148" s="103">
        <v>35</v>
      </c>
      <c r="AB148" s="103"/>
      <c r="AC148" s="103"/>
      <c r="AD148" s="103"/>
      <c r="AE148" s="103"/>
      <c r="AF148" s="103"/>
      <c r="AG148" s="103"/>
      <c r="AH148" s="103"/>
      <c r="AI148" s="103">
        <v>25</v>
      </c>
      <c r="AJ148" s="103"/>
      <c r="AK148" s="103"/>
      <c r="AL148" s="103"/>
      <c r="AM148" s="103"/>
      <c r="AN148" s="103">
        <v>115</v>
      </c>
      <c r="AO148" s="103"/>
      <c r="AP148" s="103"/>
      <c r="AQ148" s="103"/>
      <c r="AR148" s="103"/>
      <c r="AS148" s="103"/>
      <c r="AT148" s="103"/>
      <c r="AU148" s="103"/>
      <c r="AV148" s="103"/>
      <c r="AW148" s="104" t="str">
        <f>HYPERLINK("http://www.openstreetmap.org/?mlat=34.0926&amp;mlon=42.3973&amp;zoom=12#map=12/34.0926/42.3973","Maplink1")</f>
        <v>Maplink1</v>
      </c>
      <c r="AX148" s="104" t="str">
        <f>HYPERLINK("https://www.google.iq/maps/search/+34.0926,42.3973/@34.0926,42.3973,14z?hl=en","Maplink2")</f>
        <v>Maplink2</v>
      </c>
      <c r="AY148" s="104" t="str">
        <f>HYPERLINK("http://www.bing.com/maps/?lvl=14&amp;sty=h&amp;cp=34.0926~42.3973&amp;sp=point.34.0926_42.3973","Maplink3")</f>
        <v>Maplink3</v>
      </c>
    </row>
    <row r="149" spans="1:51" x14ac:dyDescent="0.2">
      <c r="A149" s="102">
        <v>33821</v>
      </c>
      <c r="B149" s="103" t="s">
        <v>29</v>
      </c>
      <c r="C149" s="103" t="s">
        <v>81</v>
      </c>
      <c r="D149" s="103" t="s">
        <v>435</v>
      </c>
      <c r="E149" s="103" t="s">
        <v>436</v>
      </c>
      <c r="F149" s="103">
        <v>34.130670000000002</v>
      </c>
      <c r="G149" s="103">
        <v>42.359180000000002</v>
      </c>
      <c r="H149" s="102">
        <v>192</v>
      </c>
      <c r="I149" s="102">
        <v>1152</v>
      </c>
      <c r="J149" s="103"/>
      <c r="K149" s="103"/>
      <c r="L149" s="103"/>
      <c r="M149" s="103">
        <v>130</v>
      </c>
      <c r="N149" s="103">
        <v>62</v>
      </c>
      <c r="O149" s="103"/>
      <c r="P149" s="103"/>
      <c r="Q149" s="103"/>
      <c r="R149" s="103"/>
      <c r="S149" s="103"/>
      <c r="T149" s="103"/>
      <c r="U149" s="103">
        <v>40</v>
      </c>
      <c r="V149" s="103"/>
      <c r="W149" s="103">
        <v>97</v>
      </c>
      <c r="X149" s="103"/>
      <c r="Y149" s="103"/>
      <c r="Z149" s="103"/>
      <c r="AA149" s="103">
        <v>23</v>
      </c>
      <c r="AB149" s="103"/>
      <c r="AC149" s="103"/>
      <c r="AD149" s="103"/>
      <c r="AE149" s="103"/>
      <c r="AF149" s="103"/>
      <c r="AG149" s="103"/>
      <c r="AH149" s="103"/>
      <c r="AI149" s="103"/>
      <c r="AJ149" s="103">
        <v>32</v>
      </c>
      <c r="AK149" s="103"/>
      <c r="AL149" s="103"/>
      <c r="AM149" s="103"/>
      <c r="AN149" s="103">
        <v>192</v>
      </c>
      <c r="AO149" s="103"/>
      <c r="AP149" s="103"/>
      <c r="AQ149" s="103"/>
      <c r="AR149" s="103"/>
      <c r="AS149" s="103"/>
      <c r="AT149" s="103"/>
      <c r="AU149" s="103"/>
      <c r="AV149" s="103"/>
      <c r="AW149" s="104" t="str">
        <f>HYPERLINK("http://www.openstreetmap.org/?mlat=34.1307&amp;mlon=42.3592&amp;zoom=12#map=12/34.1307/42.3592","Maplink1")</f>
        <v>Maplink1</v>
      </c>
      <c r="AX149" s="104" t="str">
        <f>HYPERLINK("https://www.google.iq/maps/search/+34.1307,42.3592/@34.1307,42.3592,14z?hl=en","Maplink2")</f>
        <v>Maplink2</v>
      </c>
      <c r="AY149" s="104" t="str">
        <f>HYPERLINK("http://www.bing.com/maps/?lvl=14&amp;sty=h&amp;cp=34.1307~42.3592&amp;sp=point.34.1307_42.3592","Maplink3")</f>
        <v>Maplink3</v>
      </c>
    </row>
    <row r="150" spans="1:51" x14ac:dyDescent="0.2">
      <c r="A150" s="102">
        <v>23823</v>
      </c>
      <c r="B150" s="103" t="s">
        <v>29</v>
      </c>
      <c r="C150" s="103" t="s">
        <v>81</v>
      </c>
      <c r="D150" s="103" t="s">
        <v>407</v>
      </c>
      <c r="E150" s="103" t="s">
        <v>408</v>
      </c>
      <c r="F150" s="103">
        <v>34.085321100000002</v>
      </c>
      <c r="G150" s="103">
        <v>42.354205332500001</v>
      </c>
      <c r="H150" s="102">
        <v>52</v>
      </c>
      <c r="I150" s="102">
        <v>312</v>
      </c>
      <c r="J150" s="103"/>
      <c r="K150" s="103"/>
      <c r="L150" s="103"/>
      <c r="M150" s="103">
        <v>52</v>
      </c>
      <c r="N150" s="103"/>
      <c r="O150" s="103"/>
      <c r="P150" s="103"/>
      <c r="Q150" s="103"/>
      <c r="R150" s="103"/>
      <c r="S150" s="103"/>
      <c r="T150" s="103"/>
      <c r="U150" s="103">
        <v>17</v>
      </c>
      <c r="V150" s="103"/>
      <c r="W150" s="103"/>
      <c r="X150" s="103"/>
      <c r="Y150" s="103"/>
      <c r="Z150" s="103"/>
      <c r="AA150" s="103">
        <v>25</v>
      </c>
      <c r="AB150" s="103"/>
      <c r="AC150" s="103">
        <v>10</v>
      </c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>
        <v>52</v>
      </c>
      <c r="AQ150" s="103"/>
      <c r="AR150" s="103"/>
      <c r="AS150" s="103"/>
      <c r="AT150" s="103"/>
      <c r="AU150" s="103"/>
      <c r="AV150" s="103"/>
      <c r="AW150" s="104" t="str">
        <f>HYPERLINK("http://www.openstreetmap.org/?mlat=34.0853&amp;mlon=42.3542&amp;zoom=12#map=12/34.0853/42.3542","Maplink1")</f>
        <v>Maplink1</v>
      </c>
      <c r="AX150" s="104" t="str">
        <f>HYPERLINK("https://www.google.iq/maps/search/+34.0853,42.3542/@34.0853,42.3542,14z?hl=en","Maplink2")</f>
        <v>Maplink2</v>
      </c>
      <c r="AY150" s="104" t="str">
        <f>HYPERLINK("http://www.bing.com/maps/?lvl=14&amp;sty=h&amp;cp=34.0853~42.3542&amp;sp=point.34.0853_42.3542","Maplink3")</f>
        <v>Maplink3</v>
      </c>
    </row>
    <row r="151" spans="1:51" x14ac:dyDescent="0.2">
      <c r="A151" s="102">
        <v>244</v>
      </c>
      <c r="B151" s="103" t="s">
        <v>29</v>
      </c>
      <c r="C151" s="103" t="s">
        <v>81</v>
      </c>
      <c r="D151" s="103" t="s">
        <v>409</v>
      </c>
      <c r="E151" s="103" t="s">
        <v>207</v>
      </c>
      <c r="F151" s="103">
        <v>34.141936708999999</v>
      </c>
      <c r="G151" s="103">
        <v>42.370272796899997</v>
      </c>
      <c r="H151" s="102">
        <v>123</v>
      </c>
      <c r="I151" s="102">
        <v>738</v>
      </c>
      <c r="J151" s="103"/>
      <c r="K151" s="103"/>
      <c r="L151" s="103"/>
      <c r="M151" s="103">
        <v>123</v>
      </c>
      <c r="N151" s="103"/>
      <c r="O151" s="103"/>
      <c r="P151" s="103"/>
      <c r="Q151" s="103"/>
      <c r="R151" s="103"/>
      <c r="S151" s="103"/>
      <c r="T151" s="103"/>
      <c r="U151" s="103">
        <v>12</v>
      </c>
      <c r="V151" s="103"/>
      <c r="W151" s="103">
        <v>33</v>
      </c>
      <c r="X151" s="103"/>
      <c r="Y151" s="103"/>
      <c r="Z151" s="103"/>
      <c r="AA151" s="103">
        <v>42</v>
      </c>
      <c r="AB151" s="103"/>
      <c r="AC151" s="103">
        <v>22</v>
      </c>
      <c r="AD151" s="103"/>
      <c r="AE151" s="103"/>
      <c r="AF151" s="103"/>
      <c r="AG151" s="103"/>
      <c r="AH151" s="103"/>
      <c r="AI151" s="103"/>
      <c r="AJ151" s="103">
        <v>14</v>
      </c>
      <c r="AK151" s="103"/>
      <c r="AL151" s="103"/>
      <c r="AM151" s="103"/>
      <c r="AN151" s="103">
        <v>75</v>
      </c>
      <c r="AO151" s="103"/>
      <c r="AP151" s="103">
        <v>48</v>
      </c>
      <c r="AQ151" s="103"/>
      <c r="AR151" s="103"/>
      <c r="AS151" s="103"/>
      <c r="AT151" s="103"/>
      <c r="AU151" s="103"/>
      <c r="AV151" s="103"/>
      <c r="AW151" s="104" t="str">
        <f>HYPERLINK("http://www.openstreetmap.org/?mlat=34.1419&amp;mlon=42.3703&amp;zoom=12#map=12/34.1419/42.3703","Maplink1")</f>
        <v>Maplink1</v>
      </c>
      <c r="AX151" s="104" t="str">
        <f>HYPERLINK("https://www.google.iq/maps/search/+34.1419,42.3703/@34.1419,42.3703,14z?hl=en","Maplink2")</f>
        <v>Maplink2</v>
      </c>
      <c r="AY151" s="104" t="str">
        <f>HYPERLINK("http://www.bing.com/maps/?lvl=14&amp;sty=h&amp;cp=34.1419~42.3703&amp;sp=point.34.1419_42.3703","Maplink3")</f>
        <v>Maplink3</v>
      </c>
    </row>
    <row r="152" spans="1:51" x14ac:dyDescent="0.2">
      <c r="A152" s="102">
        <v>239</v>
      </c>
      <c r="B152" s="103" t="s">
        <v>29</v>
      </c>
      <c r="C152" s="103" t="s">
        <v>81</v>
      </c>
      <c r="D152" s="103" t="s">
        <v>437</v>
      </c>
      <c r="E152" s="103" t="s">
        <v>438</v>
      </c>
      <c r="F152" s="103">
        <v>34.143738003800003</v>
      </c>
      <c r="G152" s="103">
        <v>42.381055457000002</v>
      </c>
      <c r="H152" s="102">
        <v>86</v>
      </c>
      <c r="I152" s="102">
        <v>516</v>
      </c>
      <c r="J152" s="103"/>
      <c r="K152" s="103"/>
      <c r="L152" s="103"/>
      <c r="M152" s="103">
        <v>86</v>
      </c>
      <c r="N152" s="103"/>
      <c r="O152" s="103"/>
      <c r="P152" s="103"/>
      <c r="Q152" s="103"/>
      <c r="R152" s="103"/>
      <c r="S152" s="103"/>
      <c r="T152" s="103"/>
      <c r="U152" s="103">
        <v>7</v>
      </c>
      <c r="V152" s="103"/>
      <c r="W152" s="103">
        <v>17</v>
      </c>
      <c r="X152" s="103"/>
      <c r="Y152" s="103"/>
      <c r="Z152" s="103"/>
      <c r="AA152" s="103">
        <v>32</v>
      </c>
      <c r="AB152" s="103"/>
      <c r="AC152" s="103">
        <v>18</v>
      </c>
      <c r="AD152" s="103"/>
      <c r="AE152" s="103"/>
      <c r="AF152" s="103"/>
      <c r="AG152" s="103"/>
      <c r="AH152" s="103"/>
      <c r="AI152" s="103"/>
      <c r="AJ152" s="103">
        <v>12</v>
      </c>
      <c r="AK152" s="103"/>
      <c r="AL152" s="103"/>
      <c r="AM152" s="103"/>
      <c r="AN152" s="103">
        <v>50</v>
      </c>
      <c r="AO152" s="103"/>
      <c r="AP152" s="103">
        <v>36</v>
      </c>
      <c r="AQ152" s="103"/>
      <c r="AR152" s="103"/>
      <c r="AS152" s="103"/>
      <c r="AT152" s="103"/>
      <c r="AU152" s="103"/>
      <c r="AV152" s="103"/>
      <c r="AW152" s="104" t="str">
        <f>HYPERLINK("http://www.openstreetmap.org/?mlat=34.1437&amp;mlon=42.3811&amp;zoom=12#map=12/34.1437/42.3811","Maplink1")</f>
        <v>Maplink1</v>
      </c>
      <c r="AX152" s="104" t="str">
        <f>HYPERLINK("https://www.google.iq/maps/search/+34.1437,42.3811/@34.1437,42.3811,14z?hl=en","Maplink2")</f>
        <v>Maplink2</v>
      </c>
      <c r="AY152" s="104" t="str">
        <f>HYPERLINK("http://www.bing.com/maps/?lvl=14&amp;sty=h&amp;cp=34.1437~42.3811&amp;sp=point.34.1437_42.3811","Maplink3")</f>
        <v>Maplink3</v>
      </c>
    </row>
    <row r="153" spans="1:51" x14ac:dyDescent="0.2">
      <c r="A153" s="102">
        <v>79</v>
      </c>
      <c r="B153" s="103" t="s">
        <v>29</v>
      </c>
      <c r="C153" s="103" t="s">
        <v>81</v>
      </c>
      <c r="D153" s="103" t="s">
        <v>417</v>
      </c>
      <c r="E153" s="103" t="s">
        <v>418</v>
      </c>
      <c r="F153" s="103">
        <v>34.112913704999997</v>
      </c>
      <c r="G153" s="103">
        <v>42.382671374700003</v>
      </c>
      <c r="H153" s="102">
        <v>145</v>
      </c>
      <c r="I153" s="102">
        <v>870</v>
      </c>
      <c r="J153" s="103"/>
      <c r="K153" s="103"/>
      <c r="L153" s="103"/>
      <c r="M153" s="103">
        <v>145</v>
      </c>
      <c r="N153" s="103"/>
      <c r="O153" s="103"/>
      <c r="P153" s="103"/>
      <c r="Q153" s="103"/>
      <c r="R153" s="103"/>
      <c r="S153" s="103"/>
      <c r="T153" s="103"/>
      <c r="U153" s="103">
        <v>25</v>
      </c>
      <c r="V153" s="103"/>
      <c r="W153" s="103">
        <v>32</v>
      </c>
      <c r="X153" s="103"/>
      <c r="Y153" s="103"/>
      <c r="Z153" s="103"/>
      <c r="AA153" s="103">
        <v>47</v>
      </c>
      <c r="AB153" s="103"/>
      <c r="AC153" s="103">
        <v>28</v>
      </c>
      <c r="AD153" s="103"/>
      <c r="AE153" s="103"/>
      <c r="AF153" s="103"/>
      <c r="AG153" s="103"/>
      <c r="AH153" s="103"/>
      <c r="AI153" s="103"/>
      <c r="AJ153" s="103">
        <v>13</v>
      </c>
      <c r="AK153" s="103"/>
      <c r="AL153" s="103"/>
      <c r="AM153" s="103"/>
      <c r="AN153" s="103">
        <v>45</v>
      </c>
      <c r="AO153" s="103"/>
      <c r="AP153" s="103">
        <v>100</v>
      </c>
      <c r="AQ153" s="103"/>
      <c r="AR153" s="103"/>
      <c r="AS153" s="103"/>
      <c r="AT153" s="103"/>
      <c r="AU153" s="103"/>
      <c r="AV153" s="103"/>
      <c r="AW153" s="104" t="str">
        <f>HYPERLINK("http://www.openstreetmap.org/?mlat=34.1129&amp;mlon=42.3827&amp;zoom=12#map=12/34.1129/42.3827","Maplink1")</f>
        <v>Maplink1</v>
      </c>
      <c r="AX153" s="104" t="str">
        <f>HYPERLINK("https://www.google.iq/maps/search/+34.1129,42.3827/@34.1129,42.3827,14z?hl=en","Maplink2")</f>
        <v>Maplink2</v>
      </c>
      <c r="AY153" s="104" t="str">
        <f>HYPERLINK("http://www.bing.com/maps/?lvl=14&amp;sty=h&amp;cp=34.1129~42.3827&amp;sp=point.34.1129_42.3827","Maplink3")</f>
        <v>Maplink3</v>
      </c>
    </row>
    <row r="154" spans="1:51" x14ac:dyDescent="0.2">
      <c r="A154" s="102">
        <v>237</v>
      </c>
      <c r="B154" s="103" t="s">
        <v>29</v>
      </c>
      <c r="C154" s="103" t="s">
        <v>81</v>
      </c>
      <c r="D154" s="103" t="s">
        <v>194</v>
      </c>
      <c r="E154" s="103" t="s">
        <v>195</v>
      </c>
      <c r="F154" s="103">
        <v>34.127432421199998</v>
      </c>
      <c r="G154" s="103">
        <v>42.3787375649</v>
      </c>
      <c r="H154" s="102">
        <v>67</v>
      </c>
      <c r="I154" s="102">
        <v>402</v>
      </c>
      <c r="J154" s="103"/>
      <c r="K154" s="103"/>
      <c r="L154" s="103"/>
      <c r="M154" s="103">
        <v>67</v>
      </c>
      <c r="N154" s="103"/>
      <c r="O154" s="103"/>
      <c r="P154" s="103"/>
      <c r="Q154" s="103"/>
      <c r="R154" s="103"/>
      <c r="S154" s="103"/>
      <c r="T154" s="103"/>
      <c r="U154" s="103"/>
      <c r="V154" s="103"/>
      <c r="W154" s="103">
        <v>32</v>
      </c>
      <c r="X154" s="103"/>
      <c r="Y154" s="103"/>
      <c r="Z154" s="103"/>
      <c r="AA154" s="103">
        <v>20</v>
      </c>
      <c r="AB154" s="103"/>
      <c r="AC154" s="103"/>
      <c r="AD154" s="103"/>
      <c r="AE154" s="103"/>
      <c r="AF154" s="103"/>
      <c r="AG154" s="103"/>
      <c r="AH154" s="103"/>
      <c r="AI154" s="103"/>
      <c r="AJ154" s="103">
        <v>15</v>
      </c>
      <c r="AK154" s="103"/>
      <c r="AL154" s="103"/>
      <c r="AM154" s="103"/>
      <c r="AN154" s="103">
        <v>23</v>
      </c>
      <c r="AO154" s="103"/>
      <c r="AP154" s="103">
        <v>44</v>
      </c>
      <c r="AQ154" s="103"/>
      <c r="AR154" s="103"/>
      <c r="AS154" s="103"/>
      <c r="AT154" s="103"/>
      <c r="AU154" s="103"/>
      <c r="AV154" s="103"/>
      <c r="AW154" s="104" t="str">
        <f>HYPERLINK("http://www.openstreetmap.org/?mlat=34.1274&amp;mlon=42.3787&amp;zoom=12#map=12/34.1274/42.3787","Maplink1")</f>
        <v>Maplink1</v>
      </c>
      <c r="AX154" s="104" t="str">
        <f>HYPERLINK("https://www.google.iq/maps/search/+34.1274,42.3787/@34.1274,42.3787,14z?hl=en","Maplink2")</f>
        <v>Maplink2</v>
      </c>
      <c r="AY154" s="104" t="str">
        <f>HYPERLINK("http://www.bing.com/maps/?lvl=14&amp;sty=h&amp;cp=34.1274~42.3787&amp;sp=point.34.1274_42.3787","Maplink3")</f>
        <v>Maplink3</v>
      </c>
    </row>
    <row r="155" spans="1:51" x14ac:dyDescent="0.2">
      <c r="A155" s="102">
        <v>24314</v>
      </c>
      <c r="B155" s="103" t="s">
        <v>29</v>
      </c>
      <c r="C155" s="103" t="s">
        <v>81</v>
      </c>
      <c r="D155" s="103" t="s">
        <v>405</v>
      </c>
      <c r="E155" s="103" t="s">
        <v>406</v>
      </c>
      <c r="F155" s="103">
        <v>34.089244645800001</v>
      </c>
      <c r="G155" s="103">
        <v>42.359650084899997</v>
      </c>
      <c r="H155" s="102">
        <v>54</v>
      </c>
      <c r="I155" s="102">
        <v>324</v>
      </c>
      <c r="J155" s="103"/>
      <c r="K155" s="103"/>
      <c r="L155" s="103"/>
      <c r="M155" s="103">
        <v>54</v>
      </c>
      <c r="N155" s="103"/>
      <c r="O155" s="103"/>
      <c r="P155" s="103"/>
      <c r="Q155" s="103"/>
      <c r="R155" s="103"/>
      <c r="S155" s="103"/>
      <c r="T155" s="103"/>
      <c r="U155" s="103">
        <v>32</v>
      </c>
      <c r="V155" s="103"/>
      <c r="W155" s="103">
        <v>7</v>
      </c>
      <c r="X155" s="103"/>
      <c r="Y155" s="103"/>
      <c r="Z155" s="103"/>
      <c r="AA155" s="103">
        <v>15</v>
      </c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>
        <v>54</v>
      </c>
      <c r="AR155" s="103"/>
      <c r="AS155" s="103"/>
      <c r="AT155" s="103"/>
      <c r="AU155" s="103"/>
      <c r="AV155" s="103"/>
      <c r="AW155" s="104" t="str">
        <f>HYPERLINK("http://www.openstreetmap.org/?mlat=34.0892&amp;mlon=42.3597&amp;zoom=12#map=12/34.0892/42.3597","Maplink1")</f>
        <v>Maplink1</v>
      </c>
      <c r="AX155" s="104" t="str">
        <f>HYPERLINK("https://www.google.iq/maps/search/+34.0892,42.3597/@34.0892,42.3597,14z?hl=en","Maplink2")</f>
        <v>Maplink2</v>
      </c>
      <c r="AY155" s="104" t="str">
        <f>HYPERLINK("http://www.bing.com/maps/?lvl=14&amp;sty=h&amp;cp=34.0892~42.3597&amp;sp=point.34.0892_42.3597","Maplink3")</f>
        <v>Maplink3</v>
      </c>
    </row>
    <row r="156" spans="1:51" x14ac:dyDescent="0.2">
      <c r="A156" s="102">
        <v>23824</v>
      </c>
      <c r="B156" s="103" t="s">
        <v>29</v>
      </c>
      <c r="C156" s="103" t="s">
        <v>81</v>
      </c>
      <c r="D156" s="103" t="s">
        <v>447</v>
      </c>
      <c r="E156" s="103" t="s">
        <v>448</v>
      </c>
      <c r="F156" s="103">
        <v>34.079049666099998</v>
      </c>
      <c r="G156" s="103">
        <v>42.362877639700002</v>
      </c>
      <c r="H156" s="102">
        <v>92</v>
      </c>
      <c r="I156" s="102">
        <v>552</v>
      </c>
      <c r="J156" s="103"/>
      <c r="K156" s="103"/>
      <c r="L156" s="103"/>
      <c r="M156" s="103">
        <v>92</v>
      </c>
      <c r="N156" s="103"/>
      <c r="O156" s="103"/>
      <c r="P156" s="103"/>
      <c r="Q156" s="103"/>
      <c r="R156" s="103"/>
      <c r="S156" s="103"/>
      <c r="T156" s="103"/>
      <c r="U156" s="103">
        <v>70</v>
      </c>
      <c r="V156" s="103"/>
      <c r="W156" s="103">
        <v>10</v>
      </c>
      <c r="X156" s="103"/>
      <c r="Y156" s="103"/>
      <c r="Z156" s="103"/>
      <c r="AA156" s="103">
        <v>12</v>
      </c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>
        <v>92</v>
      </c>
      <c r="AQ156" s="103"/>
      <c r="AR156" s="103"/>
      <c r="AS156" s="103"/>
      <c r="AT156" s="103"/>
      <c r="AU156" s="103"/>
      <c r="AV156" s="103"/>
      <c r="AW156" s="104" t="str">
        <f>HYPERLINK("http://www.openstreetmap.org/?mlat=34.079&amp;mlon=42.3629&amp;zoom=12#map=12/34.079/42.3629","Maplink1")</f>
        <v>Maplink1</v>
      </c>
      <c r="AX156" s="104" t="str">
        <f>HYPERLINK("https://www.google.iq/maps/search/+34.079,42.3629/@34.079,42.3629,14z?hl=en","Maplink2")</f>
        <v>Maplink2</v>
      </c>
      <c r="AY156" s="104" t="str">
        <f>HYPERLINK("http://www.bing.com/maps/?lvl=14&amp;sty=h&amp;cp=34.079~42.3629&amp;sp=point.34.079_42.3629","Maplink3")</f>
        <v>Maplink3</v>
      </c>
    </row>
    <row r="157" spans="1:51" x14ac:dyDescent="0.2">
      <c r="A157" s="102">
        <v>24111</v>
      </c>
      <c r="B157" s="103" t="s">
        <v>29</v>
      </c>
      <c r="C157" s="103" t="s">
        <v>81</v>
      </c>
      <c r="D157" s="103" t="s">
        <v>439</v>
      </c>
      <c r="E157" s="103" t="s">
        <v>440</v>
      </c>
      <c r="F157" s="103">
        <v>34.061665661500001</v>
      </c>
      <c r="G157" s="103">
        <v>42.385061999999998</v>
      </c>
      <c r="H157" s="102">
        <v>15</v>
      </c>
      <c r="I157" s="102">
        <v>90</v>
      </c>
      <c r="J157" s="103"/>
      <c r="K157" s="103"/>
      <c r="L157" s="103"/>
      <c r="M157" s="103">
        <v>15</v>
      </c>
      <c r="N157" s="103"/>
      <c r="O157" s="103"/>
      <c r="P157" s="103"/>
      <c r="Q157" s="103"/>
      <c r="R157" s="103"/>
      <c r="S157" s="103"/>
      <c r="T157" s="103"/>
      <c r="U157" s="103">
        <v>11</v>
      </c>
      <c r="V157" s="103"/>
      <c r="W157" s="103"/>
      <c r="X157" s="103"/>
      <c r="Y157" s="103"/>
      <c r="Z157" s="103"/>
      <c r="AA157" s="103">
        <v>4</v>
      </c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3"/>
      <c r="AM157" s="103"/>
      <c r="AN157" s="103">
        <v>15</v>
      </c>
      <c r="AO157" s="103"/>
      <c r="AP157" s="103"/>
      <c r="AQ157" s="103"/>
      <c r="AR157" s="103"/>
      <c r="AS157" s="103"/>
      <c r="AT157" s="103"/>
      <c r="AU157" s="103"/>
      <c r="AV157" s="103"/>
      <c r="AW157" s="104" t="str">
        <f>HYPERLINK("http://www.openstreetmap.org/?mlat=34.0617&amp;mlon=42.3851&amp;zoom=12#map=12/34.0617/42.3851","Maplink1")</f>
        <v>Maplink1</v>
      </c>
      <c r="AX157" s="104" t="str">
        <f>HYPERLINK("https://www.google.iq/maps/search/+34.0617,42.3851/@34.0617,42.3851,14z?hl=en","Maplink2")</f>
        <v>Maplink2</v>
      </c>
      <c r="AY157" s="104" t="str">
        <f>HYPERLINK("http://www.bing.com/maps/?lvl=14&amp;sty=h&amp;cp=34.0617~42.3851&amp;sp=point.34.0617_42.3851","Maplink3")</f>
        <v>Maplink3</v>
      </c>
    </row>
    <row r="158" spans="1:51" x14ac:dyDescent="0.2">
      <c r="A158" s="102">
        <v>245</v>
      </c>
      <c r="B158" s="103" t="s">
        <v>29</v>
      </c>
      <c r="C158" s="103" t="s">
        <v>81</v>
      </c>
      <c r="D158" s="103" t="s">
        <v>441</v>
      </c>
      <c r="E158" s="103" t="s">
        <v>442</v>
      </c>
      <c r="F158" s="103">
        <v>34.106733019000004</v>
      </c>
      <c r="G158" s="103">
        <v>42.379132221299997</v>
      </c>
      <c r="H158" s="102">
        <v>27</v>
      </c>
      <c r="I158" s="102">
        <v>162</v>
      </c>
      <c r="J158" s="103"/>
      <c r="K158" s="103"/>
      <c r="L158" s="103"/>
      <c r="M158" s="103">
        <v>27</v>
      </c>
      <c r="N158" s="103"/>
      <c r="O158" s="103"/>
      <c r="P158" s="103"/>
      <c r="Q158" s="103"/>
      <c r="R158" s="103"/>
      <c r="S158" s="103"/>
      <c r="T158" s="103"/>
      <c r="U158" s="103"/>
      <c r="V158" s="103"/>
      <c r="W158" s="103">
        <v>11</v>
      </c>
      <c r="X158" s="103"/>
      <c r="Y158" s="103"/>
      <c r="Z158" s="103"/>
      <c r="AA158" s="103">
        <v>7</v>
      </c>
      <c r="AB158" s="103">
        <v>9</v>
      </c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103">
        <v>27</v>
      </c>
      <c r="AO158" s="103"/>
      <c r="AP158" s="103"/>
      <c r="AQ158" s="103"/>
      <c r="AR158" s="103"/>
      <c r="AS158" s="103"/>
      <c r="AT158" s="103"/>
      <c r="AU158" s="103"/>
      <c r="AV158" s="103"/>
      <c r="AW158" s="104" t="str">
        <f>HYPERLINK("http://www.openstreetmap.org/?mlat=34.1067&amp;mlon=42.3791&amp;zoom=12#map=12/34.1067/42.3791","Maplink1")</f>
        <v>Maplink1</v>
      </c>
      <c r="AX158" s="104" t="str">
        <f>HYPERLINK("https://www.google.iq/maps/search/+34.1067,42.3791/@34.1067,42.3791,14z?hl=en","Maplink2")</f>
        <v>Maplink2</v>
      </c>
      <c r="AY158" s="104" t="str">
        <f>HYPERLINK("http://www.bing.com/maps/?lvl=14&amp;sty=h&amp;cp=34.1067~42.3791&amp;sp=point.34.1067_42.3791","Maplink3")</f>
        <v>Maplink3</v>
      </c>
    </row>
    <row r="159" spans="1:51" x14ac:dyDescent="0.2">
      <c r="A159" s="102">
        <v>23825</v>
      </c>
      <c r="B159" s="103" t="s">
        <v>29</v>
      </c>
      <c r="C159" s="103" t="s">
        <v>81</v>
      </c>
      <c r="D159" s="103" t="s">
        <v>443</v>
      </c>
      <c r="E159" s="103" t="s">
        <v>444</v>
      </c>
      <c r="F159" s="103">
        <v>34.009818944999999</v>
      </c>
      <c r="G159" s="103">
        <v>42.408028999999999</v>
      </c>
      <c r="H159" s="102">
        <v>12</v>
      </c>
      <c r="I159" s="102">
        <v>72</v>
      </c>
      <c r="J159" s="103"/>
      <c r="K159" s="103"/>
      <c r="L159" s="103"/>
      <c r="M159" s="103">
        <v>12</v>
      </c>
      <c r="N159" s="103"/>
      <c r="O159" s="103"/>
      <c r="P159" s="103"/>
      <c r="Q159" s="103"/>
      <c r="R159" s="103"/>
      <c r="S159" s="103"/>
      <c r="T159" s="103"/>
      <c r="U159" s="103"/>
      <c r="V159" s="103"/>
      <c r="W159" s="103">
        <v>7</v>
      </c>
      <c r="X159" s="103"/>
      <c r="Y159" s="103"/>
      <c r="Z159" s="103"/>
      <c r="AA159" s="103">
        <v>5</v>
      </c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3"/>
      <c r="AM159" s="103"/>
      <c r="AN159" s="103">
        <v>12</v>
      </c>
      <c r="AO159" s="103"/>
      <c r="AP159" s="103"/>
      <c r="AQ159" s="103"/>
      <c r="AR159" s="103"/>
      <c r="AS159" s="103"/>
      <c r="AT159" s="103"/>
      <c r="AU159" s="103"/>
      <c r="AV159" s="103"/>
      <c r="AW159" s="104" t="str">
        <f>HYPERLINK("http://www.openstreetmap.org/?mlat=34.0098&amp;mlon=42.408&amp;zoom=12#map=12/34.0098/42.408","Maplink1")</f>
        <v>Maplink1</v>
      </c>
      <c r="AX159" s="104" t="str">
        <f>HYPERLINK("https://www.google.iq/maps/search/+34.0098,42.408/@34.0098,42.408,14z?hl=en","Maplink2")</f>
        <v>Maplink2</v>
      </c>
      <c r="AY159" s="104" t="str">
        <f>HYPERLINK("http://www.bing.com/maps/?lvl=14&amp;sty=h&amp;cp=34.0098~42.408&amp;sp=point.34.0098_42.408","Maplink3")</f>
        <v>Maplink3</v>
      </c>
    </row>
    <row r="160" spans="1:51" x14ac:dyDescent="0.2">
      <c r="A160" s="102">
        <v>24117</v>
      </c>
      <c r="B160" s="103" t="s">
        <v>29</v>
      </c>
      <c r="C160" s="103" t="s">
        <v>81</v>
      </c>
      <c r="D160" s="103" t="s">
        <v>453</v>
      </c>
      <c r="E160" s="103" t="s">
        <v>454</v>
      </c>
      <c r="F160" s="103">
        <v>34.083410693899999</v>
      </c>
      <c r="G160" s="103">
        <v>42.351969824500003</v>
      </c>
      <c r="H160" s="102">
        <v>50</v>
      </c>
      <c r="I160" s="102">
        <v>300</v>
      </c>
      <c r="J160" s="103"/>
      <c r="K160" s="103"/>
      <c r="L160" s="103"/>
      <c r="M160" s="103">
        <v>50</v>
      </c>
      <c r="N160" s="103"/>
      <c r="O160" s="103"/>
      <c r="P160" s="103"/>
      <c r="Q160" s="103"/>
      <c r="R160" s="103"/>
      <c r="S160" s="103"/>
      <c r="T160" s="103"/>
      <c r="U160" s="103">
        <v>6</v>
      </c>
      <c r="V160" s="103"/>
      <c r="W160" s="103">
        <v>44</v>
      </c>
      <c r="X160" s="103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103">
        <v>50</v>
      </c>
      <c r="AO160" s="103"/>
      <c r="AP160" s="103"/>
      <c r="AQ160" s="103"/>
      <c r="AR160" s="103"/>
      <c r="AS160" s="103"/>
      <c r="AT160" s="103"/>
      <c r="AU160" s="103"/>
      <c r="AV160" s="103"/>
      <c r="AW160" s="104" t="str">
        <f>HYPERLINK("http://www.openstreetmap.org/?mlat=34.0834&amp;mlon=42.352&amp;zoom=12#map=12/34.0834/42.352","Maplink1")</f>
        <v>Maplink1</v>
      </c>
      <c r="AX160" s="104" t="str">
        <f>HYPERLINK("https://www.google.iq/maps/search/+34.0834,42.352/@34.0834,42.352,14z?hl=en","Maplink2")</f>
        <v>Maplink2</v>
      </c>
      <c r="AY160" s="104" t="str">
        <f>HYPERLINK("http://www.bing.com/maps/?lvl=14&amp;sty=h&amp;cp=34.0834~42.352&amp;sp=point.34.0834_42.352","Maplink3")</f>
        <v>Maplink3</v>
      </c>
    </row>
    <row r="161" spans="1:51" x14ac:dyDescent="0.2">
      <c r="A161" s="102">
        <v>23820</v>
      </c>
      <c r="B161" s="103" t="s">
        <v>29</v>
      </c>
      <c r="C161" s="103" t="s">
        <v>81</v>
      </c>
      <c r="D161" s="103" t="s">
        <v>455</v>
      </c>
      <c r="E161" s="103" t="s">
        <v>456</v>
      </c>
      <c r="F161" s="103">
        <v>34.071823926699999</v>
      </c>
      <c r="G161" s="103">
        <v>42.365248815299999</v>
      </c>
      <c r="H161" s="102">
        <v>380</v>
      </c>
      <c r="I161" s="102">
        <v>2280</v>
      </c>
      <c r="J161" s="103"/>
      <c r="K161" s="103"/>
      <c r="L161" s="103"/>
      <c r="M161" s="103">
        <v>380</v>
      </c>
      <c r="N161" s="103"/>
      <c r="O161" s="103"/>
      <c r="P161" s="103"/>
      <c r="Q161" s="103"/>
      <c r="R161" s="103"/>
      <c r="S161" s="103"/>
      <c r="T161" s="103"/>
      <c r="U161" s="103">
        <v>42</v>
      </c>
      <c r="V161" s="103"/>
      <c r="W161" s="103">
        <v>200</v>
      </c>
      <c r="X161" s="103"/>
      <c r="Y161" s="103"/>
      <c r="Z161" s="103"/>
      <c r="AA161" s="103">
        <v>86</v>
      </c>
      <c r="AB161" s="103"/>
      <c r="AC161" s="103">
        <v>25</v>
      </c>
      <c r="AD161" s="103"/>
      <c r="AE161" s="103"/>
      <c r="AF161" s="103"/>
      <c r="AG161" s="103"/>
      <c r="AH161" s="103"/>
      <c r="AI161" s="103"/>
      <c r="AJ161" s="103">
        <v>27</v>
      </c>
      <c r="AK161" s="103"/>
      <c r="AL161" s="103"/>
      <c r="AM161" s="103"/>
      <c r="AN161" s="103">
        <v>50</v>
      </c>
      <c r="AO161" s="103"/>
      <c r="AP161" s="103">
        <v>330</v>
      </c>
      <c r="AQ161" s="103"/>
      <c r="AR161" s="103"/>
      <c r="AS161" s="103"/>
      <c r="AT161" s="103"/>
      <c r="AU161" s="103"/>
      <c r="AV161" s="103"/>
      <c r="AW161" s="104" t="str">
        <f>HYPERLINK("http://www.openstreetmap.org/?mlat=34.0718&amp;mlon=42.3652&amp;zoom=12#map=12/34.0718/42.3652","Maplink1")</f>
        <v>Maplink1</v>
      </c>
      <c r="AX161" s="104" t="str">
        <f>HYPERLINK("https://www.google.iq/maps/search/+34.0718,42.3652/@34.0718,42.3652,14z?hl=en","Maplink2")</f>
        <v>Maplink2</v>
      </c>
      <c r="AY161" s="104" t="str">
        <f>HYPERLINK("http://www.bing.com/maps/?lvl=14&amp;sty=h&amp;cp=34.0718~42.3652&amp;sp=point.34.0718_42.3652","Maplink3")</f>
        <v>Maplink3</v>
      </c>
    </row>
    <row r="162" spans="1:51" x14ac:dyDescent="0.2">
      <c r="A162" s="102">
        <v>23814</v>
      </c>
      <c r="B162" s="103" t="s">
        <v>29</v>
      </c>
      <c r="C162" s="103" t="s">
        <v>81</v>
      </c>
      <c r="D162" s="103" t="s">
        <v>449</v>
      </c>
      <c r="E162" s="103" t="s">
        <v>450</v>
      </c>
      <c r="F162" s="103">
        <v>34.108105385400002</v>
      </c>
      <c r="G162" s="103">
        <v>42.387878999999998</v>
      </c>
      <c r="H162" s="102">
        <v>125</v>
      </c>
      <c r="I162" s="102">
        <v>750</v>
      </c>
      <c r="J162" s="103"/>
      <c r="K162" s="103"/>
      <c r="L162" s="103"/>
      <c r="M162" s="103">
        <v>125</v>
      </c>
      <c r="N162" s="103"/>
      <c r="O162" s="103"/>
      <c r="P162" s="103"/>
      <c r="Q162" s="103"/>
      <c r="R162" s="103"/>
      <c r="S162" s="103"/>
      <c r="T162" s="103"/>
      <c r="U162" s="103">
        <v>125</v>
      </c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103">
        <v>125</v>
      </c>
      <c r="AO162" s="103"/>
      <c r="AP162" s="103"/>
      <c r="AQ162" s="103"/>
      <c r="AR162" s="103"/>
      <c r="AS162" s="103"/>
      <c r="AT162" s="103"/>
      <c r="AU162" s="103"/>
      <c r="AV162" s="103"/>
      <c r="AW162" s="104" t="str">
        <f>HYPERLINK("http://www.openstreetmap.org/?mlat=34.1081&amp;mlon=42.3879&amp;zoom=12#map=12/34.1081/42.3879","Maplink1")</f>
        <v>Maplink1</v>
      </c>
      <c r="AX162" s="104" t="str">
        <f>HYPERLINK("https://www.google.iq/maps/search/+34.1081,42.3879/@34.1081,42.3879,14z?hl=en","Maplink2")</f>
        <v>Maplink2</v>
      </c>
      <c r="AY162" s="104" t="str">
        <f>HYPERLINK("http://www.bing.com/maps/?lvl=14&amp;sty=h&amp;cp=34.1081~42.3879&amp;sp=point.34.1081_42.3879","Maplink3")</f>
        <v>Maplink3</v>
      </c>
    </row>
    <row r="163" spans="1:51" x14ac:dyDescent="0.2">
      <c r="A163" s="102">
        <v>23893</v>
      </c>
      <c r="B163" s="103" t="s">
        <v>29</v>
      </c>
      <c r="C163" s="103" t="s">
        <v>81</v>
      </c>
      <c r="D163" s="103" t="s">
        <v>451</v>
      </c>
      <c r="E163" s="103" t="s">
        <v>452</v>
      </c>
      <c r="F163" s="103">
        <v>34.179546239899999</v>
      </c>
      <c r="G163" s="103">
        <v>42.252032999999997</v>
      </c>
      <c r="H163" s="102">
        <v>286</v>
      </c>
      <c r="I163" s="102">
        <v>1716</v>
      </c>
      <c r="J163" s="103"/>
      <c r="K163" s="103"/>
      <c r="L163" s="103"/>
      <c r="M163" s="103">
        <v>286</v>
      </c>
      <c r="N163" s="103"/>
      <c r="O163" s="103"/>
      <c r="P163" s="103"/>
      <c r="Q163" s="103"/>
      <c r="R163" s="103"/>
      <c r="S163" s="103"/>
      <c r="T163" s="103"/>
      <c r="U163" s="103">
        <v>286</v>
      </c>
      <c r="V163" s="103"/>
      <c r="W163" s="103"/>
      <c r="X163" s="103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03"/>
      <c r="AN163" s="103">
        <v>286</v>
      </c>
      <c r="AO163" s="103"/>
      <c r="AP163" s="103"/>
      <c r="AQ163" s="103"/>
      <c r="AR163" s="103"/>
      <c r="AS163" s="103"/>
      <c r="AT163" s="103"/>
      <c r="AU163" s="103"/>
      <c r="AV163" s="103"/>
      <c r="AW163" s="104" t="str">
        <f>HYPERLINK("http://www.openstreetmap.org/?mlat=34.1795&amp;mlon=42.252&amp;zoom=12#map=12/34.1795/42.252","Maplink1")</f>
        <v>Maplink1</v>
      </c>
      <c r="AX163" s="104" t="str">
        <f>HYPERLINK("https://www.google.iq/maps/search/+34.1795,42.252/@34.1795,42.252,14z?hl=en","Maplink2")</f>
        <v>Maplink2</v>
      </c>
      <c r="AY163" s="104" t="str">
        <f>HYPERLINK("http://www.bing.com/maps/?lvl=14&amp;sty=h&amp;cp=34.1795~42.252&amp;sp=point.34.1795_42.252","Maplink3")</f>
        <v>Maplink3</v>
      </c>
    </row>
    <row r="164" spans="1:51" x14ac:dyDescent="0.2">
      <c r="A164" s="102">
        <v>23817</v>
      </c>
      <c r="B164" s="103" t="s">
        <v>29</v>
      </c>
      <c r="C164" s="103" t="s">
        <v>81</v>
      </c>
      <c r="D164" s="103" t="s">
        <v>421</v>
      </c>
      <c r="E164" s="103" t="s">
        <v>422</v>
      </c>
      <c r="F164" s="103">
        <v>34.1265946515</v>
      </c>
      <c r="G164" s="103">
        <v>42.392451536000003</v>
      </c>
      <c r="H164" s="102">
        <v>214</v>
      </c>
      <c r="I164" s="102">
        <v>1284</v>
      </c>
      <c r="J164" s="103"/>
      <c r="K164" s="103"/>
      <c r="L164" s="103"/>
      <c r="M164" s="103">
        <v>214</v>
      </c>
      <c r="N164" s="103"/>
      <c r="O164" s="103"/>
      <c r="P164" s="103"/>
      <c r="Q164" s="103"/>
      <c r="R164" s="103"/>
      <c r="S164" s="103"/>
      <c r="T164" s="103"/>
      <c r="U164" s="103">
        <v>35</v>
      </c>
      <c r="V164" s="103"/>
      <c r="W164" s="103">
        <v>60</v>
      </c>
      <c r="X164" s="103"/>
      <c r="Y164" s="103"/>
      <c r="Z164" s="103"/>
      <c r="AA164" s="103"/>
      <c r="AB164" s="103"/>
      <c r="AC164" s="103">
        <v>40</v>
      </c>
      <c r="AD164" s="103"/>
      <c r="AE164" s="103"/>
      <c r="AF164" s="103"/>
      <c r="AG164" s="103"/>
      <c r="AH164" s="103"/>
      <c r="AI164" s="103">
        <v>54</v>
      </c>
      <c r="AJ164" s="103">
        <v>25</v>
      </c>
      <c r="AK164" s="103"/>
      <c r="AL164" s="103"/>
      <c r="AM164" s="103"/>
      <c r="AN164" s="103">
        <v>214</v>
      </c>
      <c r="AO164" s="103"/>
      <c r="AP164" s="103"/>
      <c r="AQ164" s="103"/>
      <c r="AR164" s="103"/>
      <c r="AS164" s="103"/>
      <c r="AT164" s="103"/>
      <c r="AU164" s="103"/>
      <c r="AV164" s="103"/>
      <c r="AW164" s="104" t="str">
        <f>HYPERLINK("http://www.openstreetmap.org/?mlat=34.1266&amp;mlon=42.3925&amp;zoom=12#map=12/34.1266/42.3925","Maplink1")</f>
        <v>Maplink1</v>
      </c>
      <c r="AX164" s="104" t="str">
        <f>HYPERLINK("https://www.google.iq/maps/search/+34.1266,42.3925/@34.1266,42.3925,14z?hl=en","Maplink2")</f>
        <v>Maplink2</v>
      </c>
      <c r="AY164" s="104" t="str">
        <f>HYPERLINK("http://www.bing.com/maps/?lvl=14&amp;sty=h&amp;cp=34.1266~42.3925&amp;sp=point.34.1266_42.3925","Maplink3")</f>
        <v>Maplink3</v>
      </c>
    </row>
    <row r="165" spans="1:51" x14ac:dyDescent="0.2">
      <c r="A165" s="102">
        <v>23822</v>
      </c>
      <c r="B165" s="103" t="s">
        <v>29</v>
      </c>
      <c r="C165" s="103" t="s">
        <v>81</v>
      </c>
      <c r="D165" s="103" t="s">
        <v>423</v>
      </c>
      <c r="E165" s="103" t="s">
        <v>424</v>
      </c>
      <c r="F165" s="103">
        <v>34.006132999999998</v>
      </c>
      <c r="G165" s="103">
        <v>42.385330075799999</v>
      </c>
      <c r="H165" s="102">
        <v>304</v>
      </c>
      <c r="I165" s="102">
        <v>1824</v>
      </c>
      <c r="J165" s="103"/>
      <c r="K165" s="103"/>
      <c r="L165" s="103"/>
      <c r="M165" s="103">
        <v>264</v>
      </c>
      <c r="N165" s="103">
        <v>40</v>
      </c>
      <c r="O165" s="103"/>
      <c r="P165" s="103"/>
      <c r="Q165" s="103"/>
      <c r="R165" s="103"/>
      <c r="S165" s="103"/>
      <c r="T165" s="103"/>
      <c r="U165" s="103">
        <v>278</v>
      </c>
      <c r="V165" s="103"/>
      <c r="W165" s="103">
        <v>14</v>
      </c>
      <c r="X165" s="103"/>
      <c r="Y165" s="103"/>
      <c r="Z165" s="103"/>
      <c r="AA165" s="103">
        <v>11</v>
      </c>
      <c r="AB165" s="103"/>
      <c r="AC165" s="103"/>
      <c r="AD165" s="103"/>
      <c r="AE165" s="103"/>
      <c r="AF165" s="103"/>
      <c r="AG165" s="103">
        <v>1</v>
      </c>
      <c r="AH165" s="103"/>
      <c r="AI165" s="103"/>
      <c r="AJ165" s="103"/>
      <c r="AK165" s="103"/>
      <c r="AL165" s="103"/>
      <c r="AM165" s="103"/>
      <c r="AN165" s="103">
        <v>53</v>
      </c>
      <c r="AO165" s="103"/>
      <c r="AP165" s="103">
        <v>251</v>
      </c>
      <c r="AQ165" s="103"/>
      <c r="AR165" s="103"/>
      <c r="AS165" s="103"/>
      <c r="AT165" s="103"/>
      <c r="AU165" s="103"/>
      <c r="AV165" s="103"/>
      <c r="AW165" s="104" t="str">
        <f>HYPERLINK("http://www.openstreetmap.org/?mlat=34.0061&amp;mlon=42.3853&amp;zoom=12#map=12/34.0061/42.3853","Maplink1")</f>
        <v>Maplink1</v>
      </c>
      <c r="AX165" s="104" t="str">
        <f>HYPERLINK("https://www.google.iq/maps/search/+34.0061,42.3853/@34.0061,42.3853,14z?hl=en","Maplink2")</f>
        <v>Maplink2</v>
      </c>
      <c r="AY165" s="104" t="str">
        <f>HYPERLINK("http://www.bing.com/maps/?lvl=14&amp;sty=h&amp;cp=34.0061~42.3853&amp;sp=point.34.0061_42.3853","Maplink3")</f>
        <v>Maplink3</v>
      </c>
    </row>
    <row r="166" spans="1:51" x14ac:dyDescent="0.2">
      <c r="A166" s="102">
        <v>24109</v>
      </c>
      <c r="B166" s="103" t="s">
        <v>29</v>
      </c>
      <c r="C166" s="103" t="s">
        <v>81</v>
      </c>
      <c r="D166" s="103" t="s">
        <v>430</v>
      </c>
      <c r="E166" s="103" t="s">
        <v>431</v>
      </c>
      <c r="F166" s="103">
        <v>34.092125634399999</v>
      </c>
      <c r="G166" s="103">
        <v>42.397489645599997</v>
      </c>
      <c r="H166" s="102">
        <v>587</v>
      </c>
      <c r="I166" s="102">
        <v>3522</v>
      </c>
      <c r="J166" s="103"/>
      <c r="K166" s="103"/>
      <c r="L166" s="103"/>
      <c r="M166" s="103">
        <v>587</v>
      </c>
      <c r="N166" s="103"/>
      <c r="O166" s="103"/>
      <c r="P166" s="103"/>
      <c r="Q166" s="103"/>
      <c r="R166" s="103"/>
      <c r="S166" s="103"/>
      <c r="T166" s="103"/>
      <c r="U166" s="103">
        <v>320</v>
      </c>
      <c r="V166" s="103">
        <v>50</v>
      </c>
      <c r="W166" s="103">
        <v>45</v>
      </c>
      <c r="X166" s="103"/>
      <c r="Y166" s="103"/>
      <c r="Z166" s="103"/>
      <c r="AA166" s="103">
        <v>47</v>
      </c>
      <c r="AB166" s="103">
        <v>35</v>
      </c>
      <c r="AC166" s="103"/>
      <c r="AD166" s="103"/>
      <c r="AE166" s="103"/>
      <c r="AF166" s="103"/>
      <c r="AG166" s="103"/>
      <c r="AH166" s="103"/>
      <c r="AI166" s="103">
        <v>90</v>
      </c>
      <c r="AJ166" s="103"/>
      <c r="AK166" s="103"/>
      <c r="AL166" s="103"/>
      <c r="AM166" s="103"/>
      <c r="AN166" s="103">
        <v>587</v>
      </c>
      <c r="AO166" s="103"/>
      <c r="AP166" s="103"/>
      <c r="AQ166" s="103"/>
      <c r="AR166" s="103"/>
      <c r="AS166" s="103"/>
      <c r="AT166" s="103"/>
      <c r="AU166" s="103"/>
      <c r="AV166" s="103"/>
      <c r="AW166" s="104" t="str">
        <f>HYPERLINK("http://www.openstreetmap.org/?mlat=34.0921&amp;mlon=42.3975&amp;zoom=12#map=12/34.0921/42.3975","Maplink1")</f>
        <v>Maplink1</v>
      </c>
      <c r="AX166" s="104" t="str">
        <f>HYPERLINK("https://www.google.iq/maps/search/+34.0921,42.3975/@34.0921,42.3975,14z?hl=en","Maplink2")</f>
        <v>Maplink2</v>
      </c>
      <c r="AY166" s="104" t="str">
        <f>HYPERLINK("http://www.bing.com/maps/?lvl=14&amp;sty=h&amp;cp=34.0921~42.3975&amp;sp=point.34.0921_42.3975","Maplink3")</f>
        <v>Maplink3</v>
      </c>
    </row>
    <row r="167" spans="1:51" x14ac:dyDescent="0.2">
      <c r="A167" s="102">
        <v>23816</v>
      </c>
      <c r="B167" s="103" t="s">
        <v>29</v>
      </c>
      <c r="C167" s="103" t="s">
        <v>81</v>
      </c>
      <c r="D167" s="103" t="s">
        <v>432</v>
      </c>
      <c r="E167" s="103" t="s">
        <v>175</v>
      </c>
      <c r="F167" s="103">
        <v>34.090885415800003</v>
      </c>
      <c r="G167" s="103">
        <v>42.378731641100003</v>
      </c>
      <c r="H167" s="102">
        <v>150</v>
      </c>
      <c r="I167" s="102">
        <v>900</v>
      </c>
      <c r="J167" s="103"/>
      <c r="K167" s="103"/>
      <c r="L167" s="103"/>
      <c r="M167" s="103">
        <v>150</v>
      </c>
      <c r="N167" s="103"/>
      <c r="O167" s="103"/>
      <c r="P167" s="103"/>
      <c r="Q167" s="103"/>
      <c r="R167" s="103"/>
      <c r="S167" s="103"/>
      <c r="T167" s="103"/>
      <c r="U167" s="103">
        <v>75</v>
      </c>
      <c r="V167" s="103"/>
      <c r="W167" s="103">
        <v>12</v>
      </c>
      <c r="X167" s="103"/>
      <c r="Y167" s="103"/>
      <c r="Z167" s="103"/>
      <c r="AA167" s="103">
        <v>42</v>
      </c>
      <c r="AB167" s="103"/>
      <c r="AC167" s="103"/>
      <c r="AD167" s="103"/>
      <c r="AE167" s="103"/>
      <c r="AF167" s="103"/>
      <c r="AG167" s="103"/>
      <c r="AH167" s="103"/>
      <c r="AI167" s="103">
        <v>21</v>
      </c>
      <c r="AJ167" s="103"/>
      <c r="AK167" s="103"/>
      <c r="AL167" s="103"/>
      <c r="AM167" s="103"/>
      <c r="AN167" s="103">
        <v>150</v>
      </c>
      <c r="AO167" s="103"/>
      <c r="AP167" s="103"/>
      <c r="AQ167" s="103"/>
      <c r="AR167" s="103"/>
      <c r="AS167" s="103"/>
      <c r="AT167" s="103"/>
      <c r="AU167" s="103"/>
      <c r="AV167" s="103"/>
      <c r="AW167" s="104" t="str">
        <f>HYPERLINK("http://www.openstreetmap.org/?mlat=34.0909&amp;mlon=42.3787&amp;zoom=12#map=12/34.0909/42.3787","Maplink1")</f>
        <v>Maplink1</v>
      </c>
      <c r="AX167" s="104" t="str">
        <f>HYPERLINK("https://www.google.iq/maps/search/+34.0909,42.3787/@34.0909,42.3787,14z?hl=en","Maplink2")</f>
        <v>Maplink2</v>
      </c>
      <c r="AY167" s="104" t="str">
        <f>HYPERLINK("http://www.bing.com/maps/?lvl=14&amp;sty=h&amp;cp=34.0909~42.3787&amp;sp=point.34.0909_42.3787","Maplink3")</f>
        <v>Maplink3</v>
      </c>
    </row>
    <row r="168" spans="1:51" x14ac:dyDescent="0.2">
      <c r="A168" s="102">
        <v>23805</v>
      </c>
      <c r="B168" s="103" t="s">
        <v>29</v>
      </c>
      <c r="C168" s="103" t="s">
        <v>81</v>
      </c>
      <c r="D168" s="103" t="s">
        <v>433</v>
      </c>
      <c r="E168" s="103" t="s">
        <v>434</v>
      </c>
      <c r="F168" s="103">
        <v>34.1530680511</v>
      </c>
      <c r="G168" s="103">
        <v>42.379714612699999</v>
      </c>
      <c r="H168" s="102">
        <v>72</v>
      </c>
      <c r="I168" s="102">
        <v>432</v>
      </c>
      <c r="J168" s="103"/>
      <c r="K168" s="103"/>
      <c r="L168" s="103"/>
      <c r="M168" s="103">
        <v>72</v>
      </c>
      <c r="N168" s="103"/>
      <c r="O168" s="103"/>
      <c r="P168" s="103"/>
      <c r="Q168" s="103"/>
      <c r="R168" s="103"/>
      <c r="S168" s="103"/>
      <c r="T168" s="103"/>
      <c r="U168" s="103">
        <v>21</v>
      </c>
      <c r="V168" s="103"/>
      <c r="W168" s="103">
        <v>18</v>
      </c>
      <c r="X168" s="103"/>
      <c r="Y168" s="103"/>
      <c r="Z168" s="103"/>
      <c r="AA168" s="103">
        <v>33</v>
      </c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103">
        <v>72</v>
      </c>
      <c r="AO168" s="103"/>
      <c r="AP168" s="103"/>
      <c r="AQ168" s="103"/>
      <c r="AR168" s="103"/>
      <c r="AS168" s="103"/>
      <c r="AT168" s="103"/>
      <c r="AU168" s="103"/>
      <c r="AV168" s="103"/>
      <c r="AW168" s="104" t="str">
        <f>HYPERLINK("http://www.openstreetmap.org/?mlat=34.1531&amp;mlon=42.3797&amp;zoom=12#map=12/34.1531/42.3797","Maplink1")</f>
        <v>Maplink1</v>
      </c>
      <c r="AX168" s="104" t="str">
        <f>HYPERLINK("https://www.google.iq/maps/search/+34.1531,42.3797/@34.1531,42.3797,14z?hl=en","Maplink2")</f>
        <v>Maplink2</v>
      </c>
      <c r="AY168" s="104" t="str">
        <f>HYPERLINK("http://www.bing.com/maps/?lvl=14&amp;sty=h&amp;cp=34.1531~42.3797&amp;sp=point.34.1531_42.3797","Maplink3")</f>
        <v>Maplink3</v>
      </c>
    </row>
    <row r="169" spans="1:51" x14ac:dyDescent="0.2">
      <c r="A169" s="102">
        <v>23832</v>
      </c>
      <c r="B169" s="103" t="s">
        <v>29</v>
      </c>
      <c r="C169" s="103" t="s">
        <v>82</v>
      </c>
      <c r="D169" s="103" t="s">
        <v>466</v>
      </c>
      <c r="E169" s="103" t="s">
        <v>467</v>
      </c>
      <c r="F169" s="103">
        <v>33.628897136600003</v>
      </c>
      <c r="G169" s="103">
        <v>42.796944243900001</v>
      </c>
      <c r="H169" s="102">
        <v>333</v>
      </c>
      <c r="I169" s="102">
        <v>1998</v>
      </c>
      <c r="J169" s="103"/>
      <c r="K169" s="103"/>
      <c r="L169" s="103"/>
      <c r="M169" s="103">
        <v>333</v>
      </c>
      <c r="N169" s="103"/>
      <c r="O169" s="103"/>
      <c r="P169" s="103"/>
      <c r="Q169" s="103"/>
      <c r="R169" s="103"/>
      <c r="S169" s="103"/>
      <c r="T169" s="103"/>
      <c r="U169" s="103">
        <v>19</v>
      </c>
      <c r="V169" s="103"/>
      <c r="W169" s="103"/>
      <c r="X169" s="103"/>
      <c r="Y169" s="103"/>
      <c r="Z169" s="103"/>
      <c r="AA169" s="103">
        <v>124</v>
      </c>
      <c r="AB169" s="103"/>
      <c r="AC169" s="103">
        <v>68</v>
      </c>
      <c r="AD169" s="103"/>
      <c r="AE169" s="103"/>
      <c r="AF169" s="103"/>
      <c r="AG169" s="103"/>
      <c r="AH169" s="103"/>
      <c r="AI169" s="103"/>
      <c r="AJ169" s="103">
        <v>122</v>
      </c>
      <c r="AK169" s="103"/>
      <c r="AL169" s="103"/>
      <c r="AM169" s="103"/>
      <c r="AN169" s="103"/>
      <c r="AO169" s="103"/>
      <c r="AP169" s="103">
        <v>143</v>
      </c>
      <c r="AQ169" s="103">
        <v>190</v>
      </c>
      <c r="AR169" s="103"/>
      <c r="AS169" s="103"/>
      <c r="AT169" s="103"/>
      <c r="AU169" s="103"/>
      <c r="AV169" s="103"/>
      <c r="AW169" s="104" t="str">
        <f>HYPERLINK("http://www.openstreetmap.org/?mlat=33.6289&amp;mlon=42.7969&amp;zoom=12#map=12/33.6289/42.7969","Maplink1")</f>
        <v>Maplink1</v>
      </c>
      <c r="AX169" s="104" t="str">
        <f>HYPERLINK("https://www.google.iq/maps/search/+33.6289,42.7969/@33.6289,42.7969,14z?hl=en","Maplink2")</f>
        <v>Maplink2</v>
      </c>
      <c r="AY169" s="104" t="str">
        <f>HYPERLINK("http://www.bing.com/maps/?lvl=14&amp;sty=h&amp;cp=33.6289~42.7969&amp;sp=point.33.6289_42.7969","Maplink3")</f>
        <v>Maplink3</v>
      </c>
    </row>
    <row r="170" spans="1:51" x14ac:dyDescent="0.2">
      <c r="A170" s="102">
        <v>21264</v>
      </c>
      <c r="B170" s="103" t="s">
        <v>29</v>
      </c>
      <c r="C170" s="103" t="s">
        <v>82</v>
      </c>
      <c r="D170" s="103" t="s">
        <v>468</v>
      </c>
      <c r="E170" s="103" t="s">
        <v>469</v>
      </c>
      <c r="F170" s="103">
        <v>33.649948896799998</v>
      </c>
      <c r="G170" s="103">
        <v>42.808090272000001</v>
      </c>
      <c r="H170" s="102">
        <v>1376</v>
      </c>
      <c r="I170" s="102">
        <v>8256</v>
      </c>
      <c r="J170" s="103"/>
      <c r="K170" s="103"/>
      <c r="L170" s="103"/>
      <c r="M170" s="103">
        <v>1376</v>
      </c>
      <c r="N170" s="103"/>
      <c r="O170" s="103"/>
      <c r="P170" s="103"/>
      <c r="Q170" s="103"/>
      <c r="R170" s="103"/>
      <c r="S170" s="103"/>
      <c r="T170" s="103"/>
      <c r="U170" s="103">
        <v>688</v>
      </c>
      <c r="V170" s="103"/>
      <c r="W170" s="103">
        <v>147</v>
      </c>
      <c r="X170" s="103"/>
      <c r="Y170" s="103"/>
      <c r="Z170" s="103"/>
      <c r="AA170" s="103">
        <v>35</v>
      </c>
      <c r="AB170" s="103"/>
      <c r="AC170" s="103">
        <v>260</v>
      </c>
      <c r="AD170" s="103"/>
      <c r="AE170" s="103"/>
      <c r="AF170" s="103"/>
      <c r="AG170" s="103"/>
      <c r="AH170" s="103"/>
      <c r="AI170" s="103"/>
      <c r="AJ170" s="103">
        <v>246</v>
      </c>
      <c r="AK170" s="103"/>
      <c r="AL170" s="103"/>
      <c r="AM170" s="103"/>
      <c r="AN170" s="103">
        <v>213</v>
      </c>
      <c r="AO170" s="103"/>
      <c r="AP170" s="103">
        <v>439</v>
      </c>
      <c r="AQ170" s="103">
        <v>304</v>
      </c>
      <c r="AR170" s="103">
        <v>420</v>
      </c>
      <c r="AS170" s="103"/>
      <c r="AT170" s="103"/>
      <c r="AU170" s="103"/>
      <c r="AV170" s="103"/>
      <c r="AW170" s="104" t="str">
        <f>HYPERLINK("http://www.openstreetmap.org/?mlat=33.6499&amp;mlon=42.8081&amp;zoom=12#map=12/33.6499/42.8081","Maplink1")</f>
        <v>Maplink1</v>
      </c>
      <c r="AX170" s="104" t="str">
        <f>HYPERLINK("https://www.google.iq/maps/search/+33.6499,42.8081/@33.6499,42.8081,14z?hl=en","Maplink2")</f>
        <v>Maplink2</v>
      </c>
      <c r="AY170" s="104" t="str">
        <f>HYPERLINK("http://www.bing.com/maps/?lvl=14&amp;sty=h&amp;cp=33.6499~42.8081&amp;sp=point.33.6499_42.8081","Maplink3")</f>
        <v>Maplink3</v>
      </c>
    </row>
    <row r="171" spans="1:51" x14ac:dyDescent="0.2">
      <c r="A171" s="102">
        <v>33822</v>
      </c>
      <c r="B171" s="103" t="s">
        <v>29</v>
      </c>
      <c r="C171" s="103" t="s">
        <v>82</v>
      </c>
      <c r="D171" s="103" t="s">
        <v>470</v>
      </c>
      <c r="E171" s="103" t="s">
        <v>471</v>
      </c>
      <c r="F171" s="103">
        <v>33.65005</v>
      </c>
      <c r="G171" s="103">
        <v>42.796900000000001</v>
      </c>
      <c r="H171" s="102">
        <v>585</v>
      </c>
      <c r="I171" s="102">
        <v>3510</v>
      </c>
      <c r="J171" s="103"/>
      <c r="K171" s="103"/>
      <c r="L171" s="103"/>
      <c r="M171" s="103">
        <v>585</v>
      </c>
      <c r="N171" s="103"/>
      <c r="O171" s="103"/>
      <c r="P171" s="103"/>
      <c r="Q171" s="103"/>
      <c r="R171" s="103"/>
      <c r="S171" s="103"/>
      <c r="T171" s="103"/>
      <c r="U171" s="103">
        <v>273</v>
      </c>
      <c r="V171" s="103"/>
      <c r="W171" s="103">
        <v>194</v>
      </c>
      <c r="X171" s="103"/>
      <c r="Y171" s="103"/>
      <c r="Z171" s="103"/>
      <c r="AA171" s="103">
        <v>66</v>
      </c>
      <c r="AB171" s="103"/>
      <c r="AC171" s="103"/>
      <c r="AD171" s="103"/>
      <c r="AE171" s="103"/>
      <c r="AF171" s="103"/>
      <c r="AG171" s="103"/>
      <c r="AH171" s="103"/>
      <c r="AI171" s="103"/>
      <c r="AJ171" s="103">
        <v>52</v>
      </c>
      <c r="AK171" s="103"/>
      <c r="AL171" s="103"/>
      <c r="AM171" s="103"/>
      <c r="AN171" s="103"/>
      <c r="AO171" s="103"/>
      <c r="AP171" s="103">
        <v>90</v>
      </c>
      <c r="AQ171" s="103">
        <v>282</v>
      </c>
      <c r="AR171" s="103">
        <v>213</v>
      </c>
      <c r="AS171" s="103"/>
      <c r="AT171" s="103"/>
      <c r="AU171" s="103"/>
      <c r="AV171" s="103"/>
      <c r="AW171" s="104" t="str">
        <f>HYPERLINK("http://www.openstreetmap.org/?mlat=33.6501&amp;mlon=42.7969&amp;zoom=12#map=12/33.6501/42.7969","Maplink1")</f>
        <v>Maplink1</v>
      </c>
      <c r="AX171" s="104" t="str">
        <f>HYPERLINK("https://www.google.iq/maps/search/+33.6501,42.7969/@33.6501,42.7969,14z?hl=en","Maplink2")</f>
        <v>Maplink2</v>
      </c>
      <c r="AY171" s="104" t="str">
        <f>HYPERLINK("http://www.bing.com/maps/?lvl=14&amp;sty=h&amp;cp=33.6501~42.7969&amp;sp=point.33.6501_42.7969","Maplink3")</f>
        <v>Maplink3</v>
      </c>
    </row>
    <row r="172" spans="1:51" x14ac:dyDescent="0.2">
      <c r="A172" s="102">
        <v>21469</v>
      </c>
      <c r="B172" s="103" t="s">
        <v>29</v>
      </c>
      <c r="C172" s="103" t="s">
        <v>82</v>
      </c>
      <c r="D172" s="103" t="s">
        <v>259</v>
      </c>
      <c r="E172" s="103" t="s">
        <v>489</v>
      </c>
      <c r="F172" s="103">
        <v>33.881740315499997</v>
      </c>
      <c r="G172" s="103">
        <v>42.556667512700002</v>
      </c>
      <c r="H172" s="102">
        <v>85</v>
      </c>
      <c r="I172" s="102">
        <v>510</v>
      </c>
      <c r="J172" s="103"/>
      <c r="K172" s="103"/>
      <c r="L172" s="103"/>
      <c r="M172" s="103">
        <v>85</v>
      </c>
      <c r="N172" s="103"/>
      <c r="O172" s="103"/>
      <c r="P172" s="103"/>
      <c r="Q172" s="103"/>
      <c r="R172" s="103"/>
      <c r="S172" s="103"/>
      <c r="T172" s="103"/>
      <c r="U172" s="103">
        <v>58</v>
      </c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>
        <v>27</v>
      </c>
      <c r="AK172" s="103"/>
      <c r="AL172" s="103"/>
      <c r="AM172" s="103"/>
      <c r="AN172" s="103">
        <v>11</v>
      </c>
      <c r="AO172" s="103"/>
      <c r="AP172" s="103">
        <v>31</v>
      </c>
      <c r="AQ172" s="103">
        <v>43</v>
      </c>
      <c r="AR172" s="103"/>
      <c r="AS172" s="103"/>
      <c r="AT172" s="103"/>
      <c r="AU172" s="103"/>
      <c r="AV172" s="103"/>
      <c r="AW172" s="104" t="str">
        <f>HYPERLINK("http://www.openstreetmap.org/?mlat=33.8817&amp;mlon=42.5567&amp;zoom=12#map=12/33.8817/42.5567","Maplink1")</f>
        <v>Maplink1</v>
      </c>
      <c r="AX172" s="104" t="str">
        <f>HYPERLINK("https://www.google.iq/maps/search/+33.8817,42.5567/@33.8817,42.5567,14z?hl=en","Maplink2")</f>
        <v>Maplink2</v>
      </c>
      <c r="AY172" s="104" t="str">
        <f>HYPERLINK("http://www.bing.com/maps/?lvl=14&amp;sty=h&amp;cp=33.8817~42.5567&amp;sp=point.33.8817_42.5567","Maplink3")</f>
        <v>Maplink3</v>
      </c>
    </row>
    <row r="173" spans="1:51" x14ac:dyDescent="0.2">
      <c r="A173" s="102">
        <v>29535</v>
      </c>
      <c r="B173" s="103" t="s">
        <v>29</v>
      </c>
      <c r="C173" s="103" t="s">
        <v>82</v>
      </c>
      <c r="D173" s="103" t="s">
        <v>490</v>
      </c>
      <c r="E173" s="103" t="s">
        <v>375</v>
      </c>
      <c r="F173" s="103">
        <v>33.588945719900003</v>
      </c>
      <c r="G173" s="103">
        <v>42.616636501199999</v>
      </c>
      <c r="H173" s="102">
        <v>757</v>
      </c>
      <c r="I173" s="102">
        <v>4542</v>
      </c>
      <c r="J173" s="103"/>
      <c r="K173" s="103"/>
      <c r="L173" s="103">
        <v>3</v>
      </c>
      <c r="M173" s="103">
        <v>754</v>
      </c>
      <c r="N173" s="103"/>
      <c r="O173" s="103"/>
      <c r="P173" s="103"/>
      <c r="Q173" s="103"/>
      <c r="R173" s="103"/>
      <c r="S173" s="103"/>
      <c r="T173" s="103"/>
      <c r="U173" s="103">
        <v>295</v>
      </c>
      <c r="V173" s="103"/>
      <c r="W173" s="103">
        <v>234</v>
      </c>
      <c r="X173" s="103"/>
      <c r="Y173" s="103"/>
      <c r="Z173" s="103"/>
      <c r="AA173" s="103">
        <v>66</v>
      </c>
      <c r="AB173" s="103"/>
      <c r="AC173" s="103">
        <v>86</v>
      </c>
      <c r="AD173" s="103"/>
      <c r="AE173" s="103"/>
      <c r="AF173" s="103"/>
      <c r="AG173" s="103"/>
      <c r="AH173" s="103"/>
      <c r="AI173" s="103"/>
      <c r="AJ173" s="103">
        <v>76</v>
      </c>
      <c r="AK173" s="103"/>
      <c r="AL173" s="103"/>
      <c r="AM173" s="103">
        <v>337</v>
      </c>
      <c r="AN173" s="103">
        <v>159</v>
      </c>
      <c r="AO173" s="103"/>
      <c r="AP173" s="103">
        <v>261</v>
      </c>
      <c r="AQ173" s="103"/>
      <c r="AR173" s="103"/>
      <c r="AS173" s="103"/>
      <c r="AT173" s="103"/>
      <c r="AU173" s="103"/>
      <c r="AV173" s="103"/>
      <c r="AW173" s="104" t="str">
        <f>HYPERLINK("http://www.openstreetmap.org/?mlat=33.5889&amp;mlon=42.6166&amp;zoom=12#map=12/33.5889/42.6166","Maplink1")</f>
        <v>Maplink1</v>
      </c>
      <c r="AX173" s="104" t="str">
        <f>HYPERLINK("https://www.google.iq/maps/search/+33.5889,42.6166/@33.5889,42.6166,14z?hl=en","Maplink2")</f>
        <v>Maplink2</v>
      </c>
      <c r="AY173" s="104" t="str">
        <f>HYPERLINK("http://www.bing.com/maps/?lvl=14&amp;sty=h&amp;cp=33.5889~42.6166&amp;sp=point.33.5889_42.6166","Maplink3")</f>
        <v>Maplink3</v>
      </c>
    </row>
    <row r="174" spans="1:51" x14ac:dyDescent="0.2">
      <c r="A174" s="102">
        <v>29536</v>
      </c>
      <c r="B174" s="103" t="s">
        <v>29</v>
      </c>
      <c r="C174" s="103" t="s">
        <v>82</v>
      </c>
      <c r="D174" s="103" t="s">
        <v>491</v>
      </c>
      <c r="E174" s="103" t="s">
        <v>492</v>
      </c>
      <c r="F174" s="103">
        <v>33.588117698300003</v>
      </c>
      <c r="G174" s="103">
        <v>42.609640408300002</v>
      </c>
      <c r="H174" s="102">
        <v>407</v>
      </c>
      <c r="I174" s="102">
        <v>2442</v>
      </c>
      <c r="J174" s="103"/>
      <c r="K174" s="103"/>
      <c r="L174" s="103">
        <v>1</v>
      </c>
      <c r="M174" s="103">
        <v>406</v>
      </c>
      <c r="N174" s="103"/>
      <c r="O174" s="103"/>
      <c r="P174" s="103"/>
      <c r="Q174" s="103"/>
      <c r="R174" s="103"/>
      <c r="S174" s="103"/>
      <c r="T174" s="103"/>
      <c r="U174" s="103">
        <v>209</v>
      </c>
      <c r="V174" s="103"/>
      <c r="W174" s="103">
        <v>82</v>
      </c>
      <c r="X174" s="103"/>
      <c r="Y174" s="103"/>
      <c r="Z174" s="103"/>
      <c r="AA174" s="103"/>
      <c r="AB174" s="103"/>
      <c r="AC174" s="103">
        <v>55</v>
      </c>
      <c r="AD174" s="103"/>
      <c r="AE174" s="103"/>
      <c r="AF174" s="103"/>
      <c r="AG174" s="103"/>
      <c r="AH174" s="103"/>
      <c r="AI174" s="103"/>
      <c r="AJ174" s="103">
        <v>61</v>
      </c>
      <c r="AK174" s="103"/>
      <c r="AL174" s="103"/>
      <c r="AM174" s="103"/>
      <c r="AN174" s="103">
        <v>90</v>
      </c>
      <c r="AO174" s="103"/>
      <c r="AP174" s="103">
        <v>150</v>
      </c>
      <c r="AQ174" s="103">
        <v>167</v>
      </c>
      <c r="AR174" s="103"/>
      <c r="AS174" s="103"/>
      <c r="AT174" s="103"/>
      <c r="AU174" s="103"/>
      <c r="AV174" s="103"/>
      <c r="AW174" s="104" t="str">
        <f>HYPERLINK("http://www.openstreetmap.org/?mlat=33.5881&amp;mlon=42.6096&amp;zoom=12#map=12/33.5881/42.6096","Maplink1")</f>
        <v>Maplink1</v>
      </c>
      <c r="AX174" s="104" t="str">
        <f>HYPERLINK("https://www.google.iq/maps/search/+33.5881,42.6096/@33.5881,42.6096,14z?hl=en","Maplink2")</f>
        <v>Maplink2</v>
      </c>
      <c r="AY174" s="104" t="str">
        <f>HYPERLINK("http://www.bing.com/maps/?lvl=14&amp;sty=h&amp;cp=33.5881~42.6096&amp;sp=point.33.5881_42.6096","Maplink3")</f>
        <v>Maplink3</v>
      </c>
    </row>
    <row r="175" spans="1:51" x14ac:dyDescent="0.2">
      <c r="A175" s="102">
        <v>23839</v>
      </c>
      <c r="B175" s="103" t="s">
        <v>29</v>
      </c>
      <c r="C175" s="103" t="s">
        <v>82</v>
      </c>
      <c r="D175" s="103" t="s">
        <v>493</v>
      </c>
      <c r="E175" s="103" t="s">
        <v>494</v>
      </c>
      <c r="F175" s="103">
        <v>33.589419878699999</v>
      </c>
      <c r="G175" s="103">
        <v>42.606433081299997</v>
      </c>
      <c r="H175" s="102">
        <v>310</v>
      </c>
      <c r="I175" s="102">
        <v>1860</v>
      </c>
      <c r="J175" s="103"/>
      <c r="K175" s="103"/>
      <c r="L175" s="103"/>
      <c r="M175" s="103">
        <v>310</v>
      </c>
      <c r="N175" s="103"/>
      <c r="O175" s="103"/>
      <c r="P175" s="103"/>
      <c r="Q175" s="103"/>
      <c r="R175" s="103"/>
      <c r="S175" s="103"/>
      <c r="T175" s="103"/>
      <c r="U175" s="103">
        <v>90</v>
      </c>
      <c r="V175" s="103"/>
      <c r="W175" s="103">
        <v>43</v>
      </c>
      <c r="X175" s="103"/>
      <c r="Y175" s="103"/>
      <c r="Z175" s="103"/>
      <c r="AA175" s="103">
        <v>39</v>
      </c>
      <c r="AB175" s="103"/>
      <c r="AC175" s="103">
        <v>75</v>
      </c>
      <c r="AD175" s="103"/>
      <c r="AE175" s="103"/>
      <c r="AF175" s="103"/>
      <c r="AG175" s="103"/>
      <c r="AH175" s="103"/>
      <c r="AI175" s="103"/>
      <c r="AJ175" s="103">
        <v>63</v>
      </c>
      <c r="AK175" s="103"/>
      <c r="AL175" s="103"/>
      <c r="AM175" s="103"/>
      <c r="AN175" s="103">
        <v>27</v>
      </c>
      <c r="AO175" s="103"/>
      <c r="AP175" s="103">
        <v>143</v>
      </c>
      <c r="AQ175" s="103">
        <v>140</v>
      </c>
      <c r="AR175" s="103"/>
      <c r="AS175" s="103"/>
      <c r="AT175" s="103"/>
      <c r="AU175" s="103"/>
      <c r="AV175" s="103"/>
      <c r="AW175" s="104" t="str">
        <f>HYPERLINK("http://www.openstreetmap.org/?mlat=33.5894&amp;mlon=42.6064&amp;zoom=12#map=12/33.5894/42.6064","Maplink1")</f>
        <v>Maplink1</v>
      </c>
      <c r="AX175" s="104" t="str">
        <f>HYPERLINK("https://www.google.iq/maps/search/+33.5894,42.6064/@33.5894,42.6064,14z?hl=en","Maplink2")</f>
        <v>Maplink2</v>
      </c>
      <c r="AY175" s="104" t="str">
        <f>HYPERLINK("http://www.bing.com/maps/?lvl=14&amp;sty=h&amp;cp=33.5894~42.6064&amp;sp=point.33.5894_42.6064","Maplink3")</f>
        <v>Maplink3</v>
      </c>
    </row>
    <row r="176" spans="1:51" x14ac:dyDescent="0.2">
      <c r="A176" s="102">
        <v>23849</v>
      </c>
      <c r="B176" s="103" t="s">
        <v>29</v>
      </c>
      <c r="C176" s="103" t="s">
        <v>82</v>
      </c>
      <c r="D176" s="103" t="s">
        <v>495</v>
      </c>
      <c r="E176" s="103" t="s">
        <v>496</v>
      </c>
      <c r="F176" s="103">
        <v>33.542983626400002</v>
      </c>
      <c r="G176" s="103">
        <v>42.953828602400002</v>
      </c>
      <c r="H176" s="102">
        <v>1200</v>
      </c>
      <c r="I176" s="102">
        <v>7200</v>
      </c>
      <c r="J176" s="103"/>
      <c r="K176" s="103"/>
      <c r="L176" s="103"/>
      <c r="M176" s="103">
        <v>1200</v>
      </c>
      <c r="N176" s="103"/>
      <c r="O176" s="103"/>
      <c r="P176" s="103"/>
      <c r="Q176" s="103"/>
      <c r="R176" s="103"/>
      <c r="S176" s="103"/>
      <c r="T176" s="103"/>
      <c r="U176" s="103">
        <v>79</v>
      </c>
      <c r="V176" s="103"/>
      <c r="W176" s="103">
        <v>190</v>
      </c>
      <c r="X176" s="103"/>
      <c r="Y176" s="103"/>
      <c r="Z176" s="103"/>
      <c r="AA176" s="103">
        <v>390</v>
      </c>
      <c r="AB176" s="103"/>
      <c r="AC176" s="103">
        <v>156</v>
      </c>
      <c r="AD176" s="103"/>
      <c r="AE176" s="103"/>
      <c r="AF176" s="103"/>
      <c r="AG176" s="103"/>
      <c r="AH176" s="103"/>
      <c r="AI176" s="103"/>
      <c r="AJ176" s="103">
        <v>385</v>
      </c>
      <c r="AK176" s="103"/>
      <c r="AL176" s="103"/>
      <c r="AM176" s="103"/>
      <c r="AN176" s="103">
        <v>400</v>
      </c>
      <c r="AO176" s="103"/>
      <c r="AP176" s="103">
        <v>150</v>
      </c>
      <c r="AQ176" s="103">
        <v>650</v>
      </c>
      <c r="AR176" s="103"/>
      <c r="AS176" s="103"/>
      <c r="AT176" s="103"/>
      <c r="AU176" s="103"/>
      <c r="AV176" s="103"/>
      <c r="AW176" s="104" t="str">
        <f>HYPERLINK("http://www.openstreetmap.org/?mlat=33.543&amp;mlon=42.9538&amp;zoom=12#map=12/33.543/42.9538","Maplink1")</f>
        <v>Maplink1</v>
      </c>
      <c r="AX176" s="104" t="str">
        <f>HYPERLINK("https://www.google.iq/maps/search/+33.543,42.9538/@33.543,42.9538,14z?hl=en","Maplink2")</f>
        <v>Maplink2</v>
      </c>
      <c r="AY176" s="104" t="str">
        <f>HYPERLINK("http://www.bing.com/maps/?lvl=14&amp;sty=h&amp;cp=33.543~42.9538&amp;sp=point.33.543_42.9538","Maplink3")</f>
        <v>Maplink3</v>
      </c>
    </row>
    <row r="177" spans="1:51" x14ac:dyDescent="0.2">
      <c r="A177" s="102">
        <v>33955</v>
      </c>
      <c r="B177" s="103" t="s">
        <v>29</v>
      </c>
      <c r="C177" s="103" t="s">
        <v>82</v>
      </c>
      <c r="D177" s="103" t="s">
        <v>497</v>
      </c>
      <c r="E177" s="103" t="s">
        <v>498</v>
      </c>
      <c r="F177" s="103">
        <v>33.593690000000002</v>
      </c>
      <c r="G177" s="103">
        <v>42.61253</v>
      </c>
      <c r="H177" s="102">
        <v>245</v>
      </c>
      <c r="I177" s="102">
        <v>1470</v>
      </c>
      <c r="J177" s="103"/>
      <c r="K177" s="103"/>
      <c r="L177" s="103"/>
      <c r="M177" s="103">
        <v>245</v>
      </c>
      <c r="N177" s="103"/>
      <c r="O177" s="103"/>
      <c r="P177" s="103"/>
      <c r="Q177" s="103"/>
      <c r="R177" s="103"/>
      <c r="S177" s="103"/>
      <c r="T177" s="103"/>
      <c r="U177" s="103">
        <v>63</v>
      </c>
      <c r="V177" s="103"/>
      <c r="W177" s="103"/>
      <c r="X177" s="103"/>
      <c r="Y177" s="103"/>
      <c r="Z177" s="103"/>
      <c r="AA177" s="103">
        <v>105</v>
      </c>
      <c r="AB177" s="103"/>
      <c r="AC177" s="103">
        <v>33</v>
      </c>
      <c r="AD177" s="103"/>
      <c r="AE177" s="103"/>
      <c r="AF177" s="103"/>
      <c r="AG177" s="103"/>
      <c r="AH177" s="103"/>
      <c r="AI177" s="103"/>
      <c r="AJ177" s="103">
        <v>44</v>
      </c>
      <c r="AK177" s="103"/>
      <c r="AL177" s="103"/>
      <c r="AM177" s="103">
        <v>76</v>
      </c>
      <c r="AN177" s="103"/>
      <c r="AO177" s="103"/>
      <c r="AP177" s="103">
        <v>87</v>
      </c>
      <c r="AQ177" s="103">
        <v>82</v>
      </c>
      <c r="AR177" s="103"/>
      <c r="AS177" s="103"/>
      <c r="AT177" s="103"/>
      <c r="AU177" s="103"/>
      <c r="AV177" s="103"/>
      <c r="AW177" s="104" t="str">
        <f>HYPERLINK("http://www.openstreetmap.org/?mlat=33.5937&amp;mlon=42.6125&amp;zoom=12#map=12/33.5937/42.6125","Maplink1")</f>
        <v>Maplink1</v>
      </c>
      <c r="AX177" s="104" t="str">
        <f>HYPERLINK("https://www.google.iq/maps/search/+33.5937,42.6125/@33.5937,42.6125,14z?hl=en","Maplink2")</f>
        <v>Maplink2</v>
      </c>
      <c r="AY177" s="104" t="str">
        <f>HYPERLINK("http://www.bing.com/maps/?lvl=14&amp;sty=h&amp;cp=33.5937~42.6125&amp;sp=point.33.5937_42.6125","Maplink3")</f>
        <v>Maplink3</v>
      </c>
    </row>
    <row r="178" spans="1:51" x14ac:dyDescent="0.2">
      <c r="A178" s="102">
        <v>24724</v>
      </c>
      <c r="B178" s="103" t="s">
        <v>29</v>
      </c>
      <c r="C178" s="103" t="s">
        <v>82</v>
      </c>
      <c r="D178" s="103" t="s">
        <v>530</v>
      </c>
      <c r="E178" s="103" t="s">
        <v>531</v>
      </c>
      <c r="F178" s="103">
        <v>33.641077641599999</v>
      </c>
      <c r="G178" s="103">
        <v>42.829910402899998</v>
      </c>
      <c r="H178" s="102">
        <v>627</v>
      </c>
      <c r="I178" s="102">
        <v>3762</v>
      </c>
      <c r="J178" s="103"/>
      <c r="K178" s="103"/>
      <c r="L178" s="103"/>
      <c r="M178" s="103">
        <v>627</v>
      </c>
      <c r="N178" s="103"/>
      <c r="O178" s="103"/>
      <c r="P178" s="103"/>
      <c r="Q178" s="103"/>
      <c r="R178" s="103"/>
      <c r="S178" s="103"/>
      <c r="T178" s="103"/>
      <c r="U178" s="103">
        <v>246</v>
      </c>
      <c r="V178" s="103"/>
      <c r="W178" s="103">
        <v>228</v>
      </c>
      <c r="X178" s="103"/>
      <c r="Y178" s="103"/>
      <c r="Z178" s="103"/>
      <c r="AA178" s="103">
        <v>84</v>
      </c>
      <c r="AB178" s="103"/>
      <c r="AC178" s="103"/>
      <c r="AD178" s="103"/>
      <c r="AE178" s="103"/>
      <c r="AF178" s="103"/>
      <c r="AG178" s="103"/>
      <c r="AH178" s="103"/>
      <c r="AI178" s="103"/>
      <c r="AJ178" s="103">
        <v>69</v>
      </c>
      <c r="AK178" s="103"/>
      <c r="AL178" s="103"/>
      <c r="AM178" s="103"/>
      <c r="AN178" s="103">
        <v>61</v>
      </c>
      <c r="AO178" s="103"/>
      <c r="AP178" s="103">
        <v>83</v>
      </c>
      <c r="AQ178" s="103">
        <v>138</v>
      </c>
      <c r="AR178" s="103">
        <v>345</v>
      </c>
      <c r="AS178" s="103"/>
      <c r="AT178" s="103"/>
      <c r="AU178" s="103"/>
      <c r="AV178" s="103"/>
      <c r="AW178" s="104" t="str">
        <f>HYPERLINK("http://www.openstreetmap.org/?mlat=33.6411&amp;mlon=42.8299&amp;zoom=12#map=12/33.6411/42.8299","Maplink1")</f>
        <v>Maplink1</v>
      </c>
      <c r="AX178" s="104" t="str">
        <f>HYPERLINK("https://www.google.iq/maps/search/+33.6411,42.8299/@33.6411,42.8299,14z?hl=en","Maplink2")</f>
        <v>Maplink2</v>
      </c>
      <c r="AY178" s="104" t="str">
        <f>HYPERLINK("http://www.bing.com/maps/?lvl=14&amp;sty=h&amp;cp=33.6411~42.8299&amp;sp=point.33.6411_42.8299","Maplink3")</f>
        <v>Maplink3</v>
      </c>
    </row>
    <row r="179" spans="1:51" x14ac:dyDescent="0.2">
      <c r="A179" s="102">
        <v>21470</v>
      </c>
      <c r="B179" s="103" t="s">
        <v>29</v>
      </c>
      <c r="C179" s="103" t="s">
        <v>82</v>
      </c>
      <c r="D179" s="103" t="s">
        <v>532</v>
      </c>
      <c r="E179" s="103" t="s">
        <v>533</v>
      </c>
      <c r="F179" s="103">
        <v>33.881125763299998</v>
      </c>
      <c r="G179" s="103">
        <v>42.523226286899998</v>
      </c>
      <c r="H179" s="102">
        <v>124</v>
      </c>
      <c r="I179" s="102">
        <v>744</v>
      </c>
      <c r="J179" s="103"/>
      <c r="K179" s="103"/>
      <c r="L179" s="103"/>
      <c r="M179" s="103">
        <v>124</v>
      </c>
      <c r="N179" s="103"/>
      <c r="O179" s="103"/>
      <c r="P179" s="103"/>
      <c r="Q179" s="103"/>
      <c r="R179" s="103"/>
      <c r="S179" s="103"/>
      <c r="T179" s="103"/>
      <c r="U179" s="103">
        <v>18</v>
      </c>
      <c r="V179" s="103"/>
      <c r="W179" s="103">
        <v>62</v>
      </c>
      <c r="X179" s="103"/>
      <c r="Y179" s="103"/>
      <c r="Z179" s="103"/>
      <c r="AA179" s="103">
        <v>44</v>
      </c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  <c r="AM179" s="103"/>
      <c r="AN179" s="103"/>
      <c r="AO179" s="103"/>
      <c r="AP179" s="103">
        <v>80</v>
      </c>
      <c r="AQ179" s="103">
        <v>44</v>
      </c>
      <c r="AR179" s="103"/>
      <c r="AS179" s="103"/>
      <c r="AT179" s="103"/>
      <c r="AU179" s="103"/>
      <c r="AV179" s="103"/>
      <c r="AW179" s="104" t="str">
        <f>HYPERLINK("http://www.openstreetmap.org/?mlat=33.8811&amp;mlon=42.5232&amp;zoom=12#map=12/33.8811/42.5232","Maplink1")</f>
        <v>Maplink1</v>
      </c>
      <c r="AX179" s="104" t="str">
        <f>HYPERLINK("https://www.google.iq/maps/search/+33.8811,42.5232/@33.8811,42.5232,14z?hl=en","Maplink2")</f>
        <v>Maplink2</v>
      </c>
      <c r="AY179" s="104" t="str">
        <f>HYPERLINK("http://www.bing.com/maps/?lvl=14&amp;sty=h&amp;cp=33.8811~42.5232&amp;sp=point.33.8811_42.5232","Maplink3")</f>
        <v>Maplink3</v>
      </c>
    </row>
    <row r="180" spans="1:51" x14ac:dyDescent="0.2">
      <c r="A180" s="102">
        <v>218</v>
      </c>
      <c r="B180" s="103" t="s">
        <v>29</v>
      </c>
      <c r="C180" s="103" t="s">
        <v>82</v>
      </c>
      <c r="D180" s="103" t="s">
        <v>534</v>
      </c>
      <c r="E180" s="103" t="s">
        <v>535</v>
      </c>
      <c r="F180" s="103">
        <v>33.632313373800002</v>
      </c>
      <c r="G180" s="103">
        <v>42.832668918899998</v>
      </c>
      <c r="H180" s="102">
        <v>1053</v>
      </c>
      <c r="I180" s="102">
        <v>6318</v>
      </c>
      <c r="J180" s="103"/>
      <c r="K180" s="103"/>
      <c r="L180" s="103"/>
      <c r="M180" s="103">
        <v>1053</v>
      </c>
      <c r="N180" s="103"/>
      <c r="O180" s="103"/>
      <c r="P180" s="103"/>
      <c r="Q180" s="103"/>
      <c r="R180" s="103"/>
      <c r="S180" s="103"/>
      <c r="T180" s="103"/>
      <c r="U180" s="103"/>
      <c r="V180" s="103"/>
      <c r="W180" s="103">
        <v>580</v>
      </c>
      <c r="X180" s="103"/>
      <c r="Y180" s="103"/>
      <c r="Z180" s="103"/>
      <c r="AA180" s="103">
        <v>117</v>
      </c>
      <c r="AB180" s="103"/>
      <c r="AC180" s="103">
        <v>202</v>
      </c>
      <c r="AD180" s="103"/>
      <c r="AE180" s="103"/>
      <c r="AF180" s="103"/>
      <c r="AG180" s="103"/>
      <c r="AH180" s="103"/>
      <c r="AI180" s="103"/>
      <c r="AJ180" s="103">
        <v>154</v>
      </c>
      <c r="AK180" s="103"/>
      <c r="AL180" s="103"/>
      <c r="AM180" s="103"/>
      <c r="AN180" s="103">
        <v>117</v>
      </c>
      <c r="AO180" s="103"/>
      <c r="AP180" s="103">
        <v>535</v>
      </c>
      <c r="AQ180" s="103">
        <v>401</v>
      </c>
      <c r="AR180" s="103"/>
      <c r="AS180" s="103"/>
      <c r="AT180" s="103"/>
      <c r="AU180" s="103"/>
      <c r="AV180" s="103"/>
      <c r="AW180" s="104" t="str">
        <f>HYPERLINK("http://www.openstreetmap.org/?mlat=33.6323&amp;mlon=42.8327&amp;zoom=12#map=12/33.6323/42.8327","Maplink1")</f>
        <v>Maplink1</v>
      </c>
      <c r="AX180" s="104" t="str">
        <f>HYPERLINK("https://www.google.iq/maps/search/+33.6323,42.8327/@33.6323,42.8327,14z?hl=en","Maplink2")</f>
        <v>Maplink2</v>
      </c>
      <c r="AY180" s="104" t="str">
        <f>HYPERLINK("http://www.bing.com/maps/?lvl=14&amp;sty=h&amp;cp=33.6323~42.8327&amp;sp=point.33.6323_42.8327","Maplink3")</f>
        <v>Maplink3</v>
      </c>
    </row>
    <row r="181" spans="1:51" x14ac:dyDescent="0.2">
      <c r="A181" s="102">
        <v>29537</v>
      </c>
      <c r="B181" s="103" t="s">
        <v>29</v>
      </c>
      <c r="C181" s="103" t="s">
        <v>82</v>
      </c>
      <c r="D181" s="103" t="s">
        <v>536</v>
      </c>
      <c r="E181" s="103" t="s">
        <v>537</v>
      </c>
      <c r="F181" s="103">
        <v>33.597444000000003</v>
      </c>
      <c r="G181" s="103">
        <v>42.621088999999998</v>
      </c>
      <c r="H181" s="102">
        <v>386</v>
      </c>
      <c r="I181" s="102">
        <v>2316</v>
      </c>
      <c r="J181" s="103"/>
      <c r="K181" s="103"/>
      <c r="L181" s="103">
        <v>1</v>
      </c>
      <c r="M181" s="103">
        <v>385</v>
      </c>
      <c r="N181" s="103"/>
      <c r="O181" s="103"/>
      <c r="P181" s="103"/>
      <c r="Q181" s="103"/>
      <c r="R181" s="103"/>
      <c r="S181" s="103"/>
      <c r="T181" s="103"/>
      <c r="U181" s="103">
        <v>228</v>
      </c>
      <c r="V181" s="103"/>
      <c r="W181" s="103">
        <v>49</v>
      </c>
      <c r="X181" s="103"/>
      <c r="Y181" s="103"/>
      <c r="Z181" s="103"/>
      <c r="AA181" s="103"/>
      <c r="AB181" s="103"/>
      <c r="AC181" s="103">
        <v>73</v>
      </c>
      <c r="AD181" s="103"/>
      <c r="AE181" s="103"/>
      <c r="AF181" s="103"/>
      <c r="AG181" s="103"/>
      <c r="AH181" s="103"/>
      <c r="AI181" s="103"/>
      <c r="AJ181" s="103">
        <v>36</v>
      </c>
      <c r="AK181" s="103"/>
      <c r="AL181" s="103"/>
      <c r="AM181" s="103">
        <v>50</v>
      </c>
      <c r="AN181" s="103"/>
      <c r="AO181" s="103"/>
      <c r="AP181" s="103">
        <v>94</v>
      </c>
      <c r="AQ181" s="103">
        <v>242</v>
      </c>
      <c r="AR181" s="103"/>
      <c r="AS181" s="103"/>
      <c r="AT181" s="103"/>
      <c r="AU181" s="103"/>
      <c r="AV181" s="103"/>
      <c r="AW181" s="104" t="str">
        <f>HYPERLINK("http://www.openstreetmap.org/?mlat=33.5974&amp;mlon=42.6211&amp;zoom=12#map=12/33.5974/42.6211","Maplink1")</f>
        <v>Maplink1</v>
      </c>
      <c r="AX181" s="104" t="str">
        <f>HYPERLINK("https://www.google.iq/maps/search/+33.5974,42.6211/@33.5974,42.6211,14z?hl=en","Maplink2")</f>
        <v>Maplink2</v>
      </c>
      <c r="AY181" s="104" t="str">
        <f>HYPERLINK("http://www.bing.com/maps/?lvl=14&amp;sty=h&amp;cp=33.5974~42.6211&amp;sp=point.33.5974_42.6211","Maplink3")</f>
        <v>Maplink3</v>
      </c>
    </row>
    <row r="182" spans="1:51" x14ac:dyDescent="0.2">
      <c r="A182" s="102">
        <v>21323</v>
      </c>
      <c r="B182" s="103" t="s">
        <v>29</v>
      </c>
      <c r="C182" s="103" t="s">
        <v>82</v>
      </c>
      <c r="D182" s="103" t="s">
        <v>564</v>
      </c>
      <c r="E182" s="103" t="s">
        <v>565</v>
      </c>
      <c r="F182" s="103">
        <v>33.921173402199997</v>
      </c>
      <c r="G182" s="103">
        <v>42.524549074500001</v>
      </c>
      <c r="H182" s="102">
        <v>660</v>
      </c>
      <c r="I182" s="102">
        <v>3960</v>
      </c>
      <c r="J182" s="103"/>
      <c r="K182" s="103"/>
      <c r="L182" s="103"/>
      <c r="M182" s="103">
        <v>660</v>
      </c>
      <c r="N182" s="103"/>
      <c r="O182" s="103"/>
      <c r="P182" s="103"/>
      <c r="Q182" s="103"/>
      <c r="R182" s="103"/>
      <c r="S182" s="103"/>
      <c r="T182" s="103"/>
      <c r="U182" s="103"/>
      <c r="V182" s="103"/>
      <c r="W182" s="103">
        <v>313</v>
      </c>
      <c r="X182" s="103"/>
      <c r="Y182" s="103"/>
      <c r="Z182" s="103"/>
      <c r="AA182" s="103">
        <v>272</v>
      </c>
      <c r="AB182" s="103"/>
      <c r="AC182" s="103"/>
      <c r="AD182" s="103"/>
      <c r="AE182" s="103"/>
      <c r="AF182" s="103"/>
      <c r="AG182" s="103"/>
      <c r="AH182" s="103"/>
      <c r="AI182" s="103"/>
      <c r="AJ182" s="103">
        <v>75</v>
      </c>
      <c r="AK182" s="103"/>
      <c r="AL182" s="103"/>
      <c r="AM182" s="103"/>
      <c r="AN182" s="103">
        <v>98</v>
      </c>
      <c r="AO182" s="103"/>
      <c r="AP182" s="103">
        <v>215</v>
      </c>
      <c r="AQ182" s="103">
        <v>347</v>
      </c>
      <c r="AR182" s="103"/>
      <c r="AS182" s="103"/>
      <c r="AT182" s="103"/>
      <c r="AU182" s="103"/>
      <c r="AV182" s="103"/>
      <c r="AW182" s="104" t="str">
        <f>HYPERLINK("http://www.openstreetmap.org/?mlat=33.9212&amp;mlon=42.5245&amp;zoom=12#map=12/33.9212/42.5245","Maplink1")</f>
        <v>Maplink1</v>
      </c>
      <c r="AX182" s="104" t="str">
        <f>HYPERLINK("https://www.google.iq/maps/search/+33.9212,42.5245/@33.9212,42.5245,14z?hl=en","Maplink2")</f>
        <v>Maplink2</v>
      </c>
      <c r="AY182" s="104" t="str">
        <f>HYPERLINK("http://www.bing.com/maps/?lvl=14&amp;sty=h&amp;cp=33.9212~42.5245&amp;sp=point.33.9212_42.5245","Maplink3")</f>
        <v>Maplink3</v>
      </c>
    </row>
    <row r="183" spans="1:51" x14ac:dyDescent="0.2">
      <c r="A183" s="102">
        <v>53</v>
      </c>
      <c r="B183" s="103" t="s">
        <v>29</v>
      </c>
      <c r="C183" s="103" t="s">
        <v>82</v>
      </c>
      <c r="D183" s="103" t="s">
        <v>566</v>
      </c>
      <c r="E183" s="103" t="s">
        <v>567</v>
      </c>
      <c r="F183" s="103">
        <v>33.698804886799998</v>
      </c>
      <c r="G183" s="103">
        <v>42.747582354000002</v>
      </c>
      <c r="H183" s="102">
        <v>25</v>
      </c>
      <c r="I183" s="102">
        <v>150</v>
      </c>
      <c r="J183" s="103"/>
      <c r="K183" s="103"/>
      <c r="L183" s="103"/>
      <c r="M183" s="103">
        <v>25</v>
      </c>
      <c r="N183" s="103"/>
      <c r="O183" s="103"/>
      <c r="P183" s="103"/>
      <c r="Q183" s="103"/>
      <c r="R183" s="103"/>
      <c r="S183" s="103"/>
      <c r="T183" s="103"/>
      <c r="U183" s="103">
        <v>25</v>
      </c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3"/>
      <c r="AM183" s="103"/>
      <c r="AN183" s="103"/>
      <c r="AO183" s="103"/>
      <c r="AP183" s="103"/>
      <c r="AQ183" s="103">
        <v>25</v>
      </c>
      <c r="AR183" s="103"/>
      <c r="AS183" s="103"/>
      <c r="AT183" s="103"/>
      <c r="AU183" s="103"/>
      <c r="AV183" s="103"/>
      <c r="AW183" s="104" t="str">
        <f>HYPERLINK("http://www.openstreetmap.org/?mlat=33.6988&amp;mlon=42.7476&amp;zoom=12#map=12/33.6988/42.7476","Maplink1")</f>
        <v>Maplink1</v>
      </c>
      <c r="AX183" s="104" t="str">
        <f>HYPERLINK("https://www.google.iq/maps/search/+33.6988,42.7476/@33.6988,42.7476,14z?hl=en","Maplink2")</f>
        <v>Maplink2</v>
      </c>
      <c r="AY183" s="104" t="str">
        <f>HYPERLINK("http://www.bing.com/maps/?lvl=14&amp;sty=h&amp;cp=33.6988~42.7476&amp;sp=point.33.6988_42.7476","Maplink3")</f>
        <v>Maplink3</v>
      </c>
    </row>
    <row r="184" spans="1:51" x14ac:dyDescent="0.2">
      <c r="A184" s="102">
        <v>152</v>
      </c>
      <c r="B184" s="103" t="s">
        <v>29</v>
      </c>
      <c r="C184" s="103" t="s">
        <v>82</v>
      </c>
      <c r="D184" s="103" t="s">
        <v>548</v>
      </c>
      <c r="E184" s="103" t="s">
        <v>549</v>
      </c>
      <c r="F184" s="103">
        <v>33.5595164852</v>
      </c>
      <c r="G184" s="103">
        <v>42.901484775699998</v>
      </c>
      <c r="H184" s="102">
        <v>654</v>
      </c>
      <c r="I184" s="102">
        <v>3924</v>
      </c>
      <c r="J184" s="103"/>
      <c r="K184" s="103"/>
      <c r="L184" s="103">
        <v>1</v>
      </c>
      <c r="M184" s="103">
        <v>653</v>
      </c>
      <c r="N184" s="103"/>
      <c r="O184" s="103"/>
      <c r="P184" s="103"/>
      <c r="Q184" s="103"/>
      <c r="R184" s="103"/>
      <c r="S184" s="103"/>
      <c r="T184" s="103"/>
      <c r="U184" s="103">
        <v>89</v>
      </c>
      <c r="V184" s="103"/>
      <c r="W184" s="103">
        <v>154</v>
      </c>
      <c r="X184" s="103"/>
      <c r="Y184" s="103"/>
      <c r="Z184" s="103"/>
      <c r="AA184" s="103">
        <v>112</v>
      </c>
      <c r="AB184" s="103"/>
      <c r="AC184" s="103">
        <v>127</v>
      </c>
      <c r="AD184" s="103"/>
      <c r="AE184" s="103"/>
      <c r="AF184" s="103"/>
      <c r="AG184" s="103"/>
      <c r="AH184" s="103"/>
      <c r="AI184" s="103"/>
      <c r="AJ184" s="103">
        <v>172</v>
      </c>
      <c r="AK184" s="103"/>
      <c r="AL184" s="103"/>
      <c r="AM184" s="103"/>
      <c r="AN184" s="103"/>
      <c r="AO184" s="103"/>
      <c r="AP184" s="103">
        <v>415</v>
      </c>
      <c r="AQ184" s="103">
        <v>236</v>
      </c>
      <c r="AR184" s="103"/>
      <c r="AS184" s="103"/>
      <c r="AT184" s="103">
        <v>3</v>
      </c>
      <c r="AU184" s="103"/>
      <c r="AV184" s="103"/>
      <c r="AW184" s="104" t="str">
        <f>HYPERLINK("http://www.openstreetmap.org/?mlat=33.5595&amp;mlon=42.9015&amp;zoom=12#map=12/33.5595/42.9015","Maplink1")</f>
        <v>Maplink1</v>
      </c>
      <c r="AX184" s="104" t="str">
        <f>HYPERLINK("https://www.google.iq/maps/search/+33.5595,42.9015/@33.5595,42.9015,14z?hl=en","Maplink2")</f>
        <v>Maplink2</v>
      </c>
      <c r="AY184" s="104" t="str">
        <f>HYPERLINK("http://www.bing.com/maps/?lvl=14&amp;sty=h&amp;cp=33.5595~42.9015&amp;sp=point.33.5595_42.9015","Maplink3")</f>
        <v>Maplink3</v>
      </c>
    </row>
    <row r="185" spans="1:51" x14ac:dyDescent="0.2">
      <c r="A185" s="102">
        <v>11</v>
      </c>
      <c r="B185" s="103" t="s">
        <v>29</v>
      </c>
      <c r="C185" s="103" t="s">
        <v>82</v>
      </c>
      <c r="D185" s="103" t="s">
        <v>550</v>
      </c>
      <c r="E185" s="103" t="s">
        <v>551</v>
      </c>
      <c r="F185" s="103">
        <v>33.531784428500004</v>
      </c>
      <c r="G185" s="103">
        <v>42.909950000000002</v>
      </c>
      <c r="H185" s="102">
        <v>253</v>
      </c>
      <c r="I185" s="102">
        <v>1518</v>
      </c>
      <c r="J185" s="103"/>
      <c r="K185" s="103"/>
      <c r="L185" s="103"/>
      <c r="M185" s="103">
        <v>253</v>
      </c>
      <c r="N185" s="103"/>
      <c r="O185" s="103"/>
      <c r="P185" s="103"/>
      <c r="Q185" s="103"/>
      <c r="R185" s="103"/>
      <c r="S185" s="103"/>
      <c r="T185" s="103"/>
      <c r="U185" s="103">
        <v>143</v>
      </c>
      <c r="V185" s="103"/>
      <c r="W185" s="103">
        <v>89</v>
      </c>
      <c r="X185" s="103"/>
      <c r="Y185" s="103"/>
      <c r="Z185" s="103"/>
      <c r="AA185" s="103">
        <v>21</v>
      </c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3"/>
      <c r="AM185" s="103"/>
      <c r="AN185" s="103"/>
      <c r="AO185" s="103"/>
      <c r="AP185" s="103">
        <v>152</v>
      </c>
      <c r="AQ185" s="103">
        <v>38</v>
      </c>
      <c r="AR185" s="103">
        <v>63</v>
      </c>
      <c r="AS185" s="103"/>
      <c r="AT185" s="103"/>
      <c r="AU185" s="103"/>
      <c r="AV185" s="103"/>
      <c r="AW185" s="104" t="str">
        <f>HYPERLINK("http://www.openstreetmap.org/?mlat=33.5318&amp;mlon=42.91&amp;zoom=12#map=12/33.5318/42.91","Maplink1")</f>
        <v>Maplink1</v>
      </c>
      <c r="AX185" s="104" t="str">
        <f>HYPERLINK("https://www.google.iq/maps/search/+33.5318,42.91/@33.5318,42.91,14z?hl=en","Maplink2")</f>
        <v>Maplink2</v>
      </c>
      <c r="AY185" s="104" t="str">
        <f>HYPERLINK("http://www.bing.com/maps/?lvl=14&amp;sty=h&amp;cp=33.5318~42.91&amp;sp=point.33.5318_42.91","Maplink3")</f>
        <v>Maplink3</v>
      </c>
    </row>
    <row r="186" spans="1:51" x14ac:dyDescent="0.2">
      <c r="A186" s="102">
        <v>194</v>
      </c>
      <c r="B186" s="103" t="s">
        <v>29</v>
      </c>
      <c r="C186" s="103" t="s">
        <v>82</v>
      </c>
      <c r="D186" s="103" t="s">
        <v>552</v>
      </c>
      <c r="E186" s="103" t="s">
        <v>553</v>
      </c>
      <c r="F186" s="103">
        <v>33.631647213900003</v>
      </c>
      <c r="G186" s="103">
        <v>42.8405051891</v>
      </c>
      <c r="H186" s="102">
        <v>925</v>
      </c>
      <c r="I186" s="102">
        <v>5550</v>
      </c>
      <c r="J186" s="103"/>
      <c r="K186" s="103"/>
      <c r="L186" s="103"/>
      <c r="M186" s="103">
        <v>925</v>
      </c>
      <c r="N186" s="103"/>
      <c r="O186" s="103"/>
      <c r="P186" s="103"/>
      <c r="Q186" s="103"/>
      <c r="R186" s="103"/>
      <c r="S186" s="103"/>
      <c r="T186" s="103"/>
      <c r="U186" s="103">
        <v>195</v>
      </c>
      <c r="V186" s="103"/>
      <c r="W186" s="103">
        <v>213</v>
      </c>
      <c r="X186" s="103"/>
      <c r="Y186" s="103"/>
      <c r="Z186" s="103"/>
      <c r="AA186" s="103">
        <v>186</v>
      </c>
      <c r="AB186" s="103"/>
      <c r="AC186" s="103">
        <v>173</v>
      </c>
      <c r="AD186" s="103"/>
      <c r="AE186" s="103"/>
      <c r="AF186" s="103"/>
      <c r="AG186" s="103"/>
      <c r="AH186" s="103"/>
      <c r="AI186" s="103">
        <v>60</v>
      </c>
      <c r="AJ186" s="103">
        <v>98</v>
      </c>
      <c r="AK186" s="103"/>
      <c r="AL186" s="103"/>
      <c r="AM186" s="103"/>
      <c r="AN186" s="103">
        <v>158</v>
      </c>
      <c r="AO186" s="103"/>
      <c r="AP186" s="103">
        <v>384</v>
      </c>
      <c r="AQ186" s="103">
        <v>232</v>
      </c>
      <c r="AR186" s="103">
        <v>151</v>
      </c>
      <c r="AS186" s="103"/>
      <c r="AT186" s="103"/>
      <c r="AU186" s="103"/>
      <c r="AV186" s="103"/>
      <c r="AW186" s="104" t="str">
        <f>HYPERLINK("http://www.openstreetmap.org/?mlat=33.6316&amp;mlon=42.8405&amp;zoom=12#map=12/33.6316/42.8405","Maplink1")</f>
        <v>Maplink1</v>
      </c>
      <c r="AX186" s="104" t="str">
        <f>HYPERLINK("https://www.google.iq/maps/search/+33.6316,42.8405/@33.6316,42.8405,14z?hl=en","Maplink2")</f>
        <v>Maplink2</v>
      </c>
      <c r="AY186" s="104" t="str">
        <f>HYPERLINK("http://www.bing.com/maps/?lvl=14&amp;sty=h&amp;cp=33.6316~42.8405&amp;sp=point.33.6316_42.8405","Maplink3")</f>
        <v>Maplink3</v>
      </c>
    </row>
    <row r="187" spans="1:51" x14ac:dyDescent="0.2">
      <c r="A187" s="102">
        <v>23838</v>
      </c>
      <c r="B187" s="103" t="s">
        <v>29</v>
      </c>
      <c r="C187" s="103" t="s">
        <v>82</v>
      </c>
      <c r="D187" s="103" t="s">
        <v>568</v>
      </c>
      <c r="E187" s="103" t="s">
        <v>205</v>
      </c>
      <c r="F187" s="103">
        <v>33.595900810400003</v>
      </c>
      <c r="G187" s="103">
        <v>42.618851424100001</v>
      </c>
      <c r="H187" s="102">
        <v>638</v>
      </c>
      <c r="I187" s="102">
        <v>3828</v>
      </c>
      <c r="J187" s="103"/>
      <c r="K187" s="103"/>
      <c r="L187" s="103">
        <v>13</v>
      </c>
      <c r="M187" s="103">
        <v>625</v>
      </c>
      <c r="N187" s="103"/>
      <c r="O187" s="103"/>
      <c r="P187" s="103"/>
      <c r="Q187" s="103"/>
      <c r="R187" s="103"/>
      <c r="S187" s="103"/>
      <c r="T187" s="103"/>
      <c r="U187" s="103">
        <v>486</v>
      </c>
      <c r="V187" s="103"/>
      <c r="W187" s="103"/>
      <c r="X187" s="103"/>
      <c r="Y187" s="103"/>
      <c r="Z187" s="103"/>
      <c r="AA187" s="103">
        <v>92</v>
      </c>
      <c r="AB187" s="103"/>
      <c r="AC187" s="103"/>
      <c r="AD187" s="103"/>
      <c r="AE187" s="103"/>
      <c r="AF187" s="103"/>
      <c r="AG187" s="103"/>
      <c r="AH187" s="103"/>
      <c r="AI187" s="103"/>
      <c r="AJ187" s="103">
        <v>60</v>
      </c>
      <c r="AK187" s="103"/>
      <c r="AL187" s="103"/>
      <c r="AM187" s="103"/>
      <c r="AN187" s="103">
        <v>97</v>
      </c>
      <c r="AO187" s="103"/>
      <c r="AP187" s="103">
        <v>314</v>
      </c>
      <c r="AQ187" s="103">
        <v>109</v>
      </c>
      <c r="AR187" s="103">
        <v>118</v>
      </c>
      <c r="AS187" s="103"/>
      <c r="AT187" s="103"/>
      <c r="AU187" s="103"/>
      <c r="AV187" s="103"/>
      <c r="AW187" s="104" t="str">
        <f>HYPERLINK("http://www.openstreetmap.org/?mlat=33.5959&amp;mlon=42.6189&amp;zoom=12#map=12/33.5959/42.6189","Maplink1")</f>
        <v>Maplink1</v>
      </c>
      <c r="AX187" s="104" t="str">
        <f>HYPERLINK("https://www.google.iq/maps/search/+33.5959,42.6189/@33.5959,42.6189,14z?hl=en","Maplink2")</f>
        <v>Maplink2</v>
      </c>
      <c r="AY187" s="104" t="str">
        <f>HYPERLINK("http://www.bing.com/maps/?lvl=14&amp;sty=h&amp;cp=33.5959~42.6189&amp;sp=point.33.5959_42.6189","Maplink3")</f>
        <v>Maplink3</v>
      </c>
    </row>
    <row r="188" spans="1:51" x14ac:dyDescent="0.2">
      <c r="A188" s="102">
        <v>33956</v>
      </c>
      <c r="B188" s="103" t="s">
        <v>29</v>
      </c>
      <c r="C188" s="103" t="s">
        <v>82</v>
      </c>
      <c r="D188" s="103" t="s">
        <v>575</v>
      </c>
      <c r="E188" s="103" t="s">
        <v>576</v>
      </c>
      <c r="F188" s="103">
        <v>33.593739999999997</v>
      </c>
      <c r="G188" s="103">
        <v>42.610210000000002</v>
      </c>
      <c r="H188" s="102">
        <v>165</v>
      </c>
      <c r="I188" s="102">
        <v>990</v>
      </c>
      <c r="J188" s="103"/>
      <c r="K188" s="103"/>
      <c r="L188" s="103">
        <v>1</v>
      </c>
      <c r="M188" s="103">
        <v>164</v>
      </c>
      <c r="N188" s="103"/>
      <c r="O188" s="103"/>
      <c r="P188" s="103"/>
      <c r="Q188" s="103"/>
      <c r="R188" s="103"/>
      <c r="S188" s="103"/>
      <c r="T188" s="103"/>
      <c r="U188" s="103">
        <v>45</v>
      </c>
      <c r="V188" s="103"/>
      <c r="W188" s="103">
        <v>2</v>
      </c>
      <c r="X188" s="103"/>
      <c r="Y188" s="103"/>
      <c r="Z188" s="103"/>
      <c r="AA188" s="103">
        <v>36</v>
      </c>
      <c r="AB188" s="103"/>
      <c r="AC188" s="103">
        <v>35</v>
      </c>
      <c r="AD188" s="103"/>
      <c r="AE188" s="103"/>
      <c r="AF188" s="103"/>
      <c r="AG188" s="103"/>
      <c r="AH188" s="103"/>
      <c r="AI188" s="103"/>
      <c r="AJ188" s="103">
        <v>47</v>
      </c>
      <c r="AK188" s="103"/>
      <c r="AL188" s="103"/>
      <c r="AM188" s="103">
        <v>30</v>
      </c>
      <c r="AN188" s="103">
        <v>80</v>
      </c>
      <c r="AO188" s="103"/>
      <c r="AP188" s="103"/>
      <c r="AQ188" s="103">
        <v>55</v>
      </c>
      <c r="AR188" s="103"/>
      <c r="AS188" s="103"/>
      <c r="AT188" s="103"/>
      <c r="AU188" s="103"/>
      <c r="AV188" s="103"/>
      <c r="AW188" s="104" t="str">
        <f>HYPERLINK("http://www.openstreetmap.org/?mlat=33.5937&amp;mlon=42.6102&amp;zoom=12#map=12/33.5937/42.6102","Maplink1")</f>
        <v>Maplink1</v>
      </c>
      <c r="AX188" s="104" t="str">
        <f>HYPERLINK("https://www.google.iq/maps/search/+33.5937,42.6102/@33.5937,42.6102,14z?hl=en","Maplink2")</f>
        <v>Maplink2</v>
      </c>
      <c r="AY188" s="104" t="str">
        <f>HYPERLINK("http://www.bing.com/maps/?lvl=14&amp;sty=h&amp;cp=33.5937~42.6102&amp;sp=point.33.5937_42.6102","Maplink3")</f>
        <v>Maplink3</v>
      </c>
    </row>
    <row r="189" spans="1:51" x14ac:dyDescent="0.2">
      <c r="A189" s="102">
        <v>23886</v>
      </c>
      <c r="B189" s="103" t="s">
        <v>29</v>
      </c>
      <c r="C189" s="103" t="s">
        <v>82</v>
      </c>
      <c r="D189" s="103" t="s">
        <v>526</v>
      </c>
      <c r="E189" s="103" t="s">
        <v>527</v>
      </c>
      <c r="F189" s="103">
        <v>33.892074000000001</v>
      </c>
      <c r="G189" s="103">
        <v>42.723436661900003</v>
      </c>
      <c r="H189" s="102">
        <v>93</v>
      </c>
      <c r="I189" s="102">
        <v>558</v>
      </c>
      <c r="J189" s="103"/>
      <c r="K189" s="103"/>
      <c r="L189" s="103"/>
      <c r="M189" s="103">
        <v>93</v>
      </c>
      <c r="N189" s="103"/>
      <c r="O189" s="103"/>
      <c r="P189" s="103"/>
      <c r="Q189" s="103"/>
      <c r="R189" s="103"/>
      <c r="S189" s="103"/>
      <c r="T189" s="103"/>
      <c r="U189" s="103">
        <v>31</v>
      </c>
      <c r="V189" s="103"/>
      <c r="W189" s="103">
        <v>23</v>
      </c>
      <c r="X189" s="103"/>
      <c r="Y189" s="103"/>
      <c r="Z189" s="103"/>
      <c r="AA189" s="103">
        <v>39</v>
      </c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3"/>
      <c r="AM189" s="103"/>
      <c r="AN189" s="103"/>
      <c r="AO189" s="103"/>
      <c r="AP189" s="103">
        <v>31</v>
      </c>
      <c r="AQ189" s="103">
        <v>62</v>
      </c>
      <c r="AR189" s="103"/>
      <c r="AS189" s="103"/>
      <c r="AT189" s="103"/>
      <c r="AU189" s="103"/>
      <c r="AV189" s="103"/>
      <c r="AW189" s="104" t="str">
        <f>HYPERLINK("http://www.openstreetmap.org/?mlat=33.8921&amp;mlon=42.7234&amp;zoom=12#map=12/33.8921/42.7234","Maplink1")</f>
        <v>Maplink1</v>
      </c>
      <c r="AX189" s="104" t="str">
        <f>HYPERLINK("https://www.google.iq/maps/search/+33.8921,42.7234/@33.8921,42.7234,14z?hl=en","Maplink2")</f>
        <v>Maplink2</v>
      </c>
      <c r="AY189" s="104" t="str">
        <f>HYPERLINK("http://www.bing.com/maps/?lvl=14&amp;sty=h&amp;cp=33.8921~42.7234&amp;sp=point.33.8921_42.7234","Maplink3")</f>
        <v>Maplink3</v>
      </c>
    </row>
    <row r="190" spans="1:51" x14ac:dyDescent="0.2">
      <c r="A190" s="102">
        <v>33957</v>
      </c>
      <c r="B190" s="103" t="s">
        <v>29</v>
      </c>
      <c r="C190" s="103" t="s">
        <v>82</v>
      </c>
      <c r="D190" s="103" t="s">
        <v>528</v>
      </c>
      <c r="E190" s="103" t="s">
        <v>529</v>
      </c>
      <c r="F190" s="103">
        <v>33.588639999999998</v>
      </c>
      <c r="G190" s="103">
        <v>42.62435</v>
      </c>
      <c r="H190" s="102">
        <v>193</v>
      </c>
      <c r="I190" s="102">
        <v>1158</v>
      </c>
      <c r="J190" s="103"/>
      <c r="K190" s="103"/>
      <c r="L190" s="103"/>
      <c r="M190" s="103">
        <v>193</v>
      </c>
      <c r="N190" s="103"/>
      <c r="O190" s="103"/>
      <c r="P190" s="103"/>
      <c r="Q190" s="103"/>
      <c r="R190" s="103"/>
      <c r="S190" s="103"/>
      <c r="T190" s="103"/>
      <c r="U190" s="103">
        <v>58</v>
      </c>
      <c r="V190" s="103"/>
      <c r="W190" s="103"/>
      <c r="X190" s="103"/>
      <c r="Y190" s="103"/>
      <c r="Z190" s="103"/>
      <c r="AA190" s="103">
        <v>75</v>
      </c>
      <c r="AB190" s="103"/>
      <c r="AC190" s="103"/>
      <c r="AD190" s="103"/>
      <c r="AE190" s="103"/>
      <c r="AF190" s="103"/>
      <c r="AG190" s="103"/>
      <c r="AH190" s="103"/>
      <c r="AI190" s="103"/>
      <c r="AJ190" s="103">
        <v>60</v>
      </c>
      <c r="AK190" s="103"/>
      <c r="AL190" s="103"/>
      <c r="AM190" s="103"/>
      <c r="AN190" s="103">
        <v>60</v>
      </c>
      <c r="AO190" s="103"/>
      <c r="AP190" s="103">
        <v>55</v>
      </c>
      <c r="AQ190" s="103"/>
      <c r="AR190" s="103">
        <v>78</v>
      </c>
      <c r="AS190" s="103"/>
      <c r="AT190" s="103"/>
      <c r="AU190" s="103"/>
      <c r="AV190" s="103"/>
      <c r="AW190" s="104" t="str">
        <f>HYPERLINK("http://www.openstreetmap.org/?mlat=33.5886&amp;mlon=42.6244&amp;zoom=12#map=12/33.5886/42.6244","Maplink1")</f>
        <v>Maplink1</v>
      </c>
      <c r="AX190" s="104" t="str">
        <f>HYPERLINK("https://www.google.iq/maps/search/+33.5886,42.6244/@33.5886,42.6244,14z?hl=en","Maplink2")</f>
        <v>Maplink2</v>
      </c>
      <c r="AY190" s="104" t="str">
        <f>HYPERLINK("http://www.bing.com/maps/?lvl=14&amp;sty=h&amp;cp=33.5886~42.6244&amp;sp=point.33.5886_42.6244","Maplink3")</f>
        <v>Maplink3</v>
      </c>
    </row>
    <row r="191" spans="1:51" x14ac:dyDescent="0.2">
      <c r="A191" s="102">
        <v>100</v>
      </c>
      <c r="B191" s="103" t="s">
        <v>29</v>
      </c>
      <c r="C191" s="103" t="s">
        <v>82</v>
      </c>
      <c r="D191" s="103" t="s">
        <v>554</v>
      </c>
      <c r="E191" s="103" t="s">
        <v>555</v>
      </c>
      <c r="F191" s="103">
        <v>33.527709237499998</v>
      </c>
      <c r="G191" s="103">
        <v>42.948236151300001</v>
      </c>
      <c r="H191" s="102">
        <v>1168</v>
      </c>
      <c r="I191" s="102">
        <v>7008</v>
      </c>
      <c r="J191" s="103"/>
      <c r="K191" s="103"/>
      <c r="L191" s="103"/>
      <c r="M191" s="103">
        <v>1168</v>
      </c>
      <c r="N191" s="103"/>
      <c r="O191" s="103"/>
      <c r="P191" s="103"/>
      <c r="Q191" s="103"/>
      <c r="R191" s="103"/>
      <c r="S191" s="103"/>
      <c r="T191" s="103"/>
      <c r="U191" s="103">
        <v>748</v>
      </c>
      <c r="V191" s="103"/>
      <c r="W191" s="103">
        <v>148</v>
      </c>
      <c r="X191" s="103"/>
      <c r="Y191" s="103"/>
      <c r="Z191" s="103"/>
      <c r="AA191" s="103"/>
      <c r="AB191" s="103"/>
      <c r="AC191" s="103">
        <v>148</v>
      </c>
      <c r="AD191" s="103"/>
      <c r="AE191" s="103"/>
      <c r="AF191" s="103"/>
      <c r="AG191" s="103"/>
      <c r="AH191" s="103"/>
      <c r="AI191" s="103"/>
      <c r="AJ191" s="103">
        <v>124</v>
      </c>
      <c r="AK191" s="103"/>
      <c r="AL191" s="103"/>
      <c r="AM191" s="103"/>
      <c r="AN191" s="103">
        <v>616</v>
      </c>
      <c r="AO191" s="103"/>
      <c r="AP191" s="103">
        <v>323</v>
      </c>
      <c r="AQ191" s="103">
        <v>124</v>
      </c>
      <c r="AR191" s="103">
        <v>105</v>
      </c>
      <c r="AS191" s="103"/>
      <c r="AT191" s="103"/>
      <c r="AU191" s="103"/>
      <c r="AV191" s="103"/>
      <c r="AW191" s="104" t="str">
        <f>HYPERLINK("http://www.openstreetmap.org/?mlat=33.5277&amp;mlon=42.9482&amp;zoom=12#map=12/33.5277/42.9482","Maplink1")</f>
        <v>Maplink1</v>
      </c>
      <c r="AX191" s="104" t="str">
        <f>HYPERLINK("https://www.google.iq/maps/search/+33.5277,42.9482/@33.5277,42.9482,14z?hl=en","Maplink2")</f>
        <v>Maplink2</v>
      </c>
      <c r="AY191" s="104" t="str">
        <f>HYPERLINK("http://www.bing.com/maps/?lvl=14&amp;sty=h&amp;cp=33.5277~42.9482&amp;sp=point.33.5277_42.9482","Maplink3")</f>
        <v>Maplink3</v>
      </c>
    </row>
    <row r="192" spans="1:51" x14ac:dyDescent="0.2">
      <c r="A192" s="102">
        <v>23829</v>
      </c>
      <c r="B192" s="103" t="s">
        <v>29</v>
      </c>
      <c r="C192" s="103" t="s">
        <v>82</v>
      </c>
      <c r="D192" s="103" t="s">
        <v>556</v>
      </c>
      <c r="E192" s="103" t="s">
        <v>557</v>
      </c>
      <c r="F192" s="103">
        <v>33.613777055299998</v>
      </c>
      <c r="G192" s="103">
        <v>42.862944120000002</v>
      </c>
      <c r="H192" s="102">
        <v>210</v>
      </c>
      <c r="I192" s="102">
        <v>1260</v>
      </c>
      <c r="J192" s="103"/>
      <c r="K192" s="103"/>
      <c r="L192" s="103"/>
      <c r="M192" s="103">
        <v>210</v>
      </c>
      <c r="N192" s="103"/>
      <c r="O192" s="103"/>
      <c r="P192" s="103"/>
      <c r="Q192" s="103"/>
      <c r="R192" s="103"/>
      <c r="S192" s="103"/>
      <c r="T192" s="103"/>
      <c r="U192" s="103">
        <v>71</v>
      </c>
      <c r="V192" s="103"/>
      <c r="W192" s="103"/>
      <c r="X192" s="103"/>
      <c r="Y192" s="103"/>
      <c r="Z192" s="103"/>
      <c r="AA192" s="103">
        <v>84</v>
      </c>
      <c r="AB192" s="103"/>
      <c r="AC192" s="103"/>
      <c r="AD192" s="103"/>
      <c r="AE192" s="103"/>
      <c r="AF192" s="103"/>
      <c r="AG192" s="103"/>
      <c r="AH192" s="103"/>
      <c r="AI192" s="103"/>
      <c r="AJ192" s="103">
        <v>55</v>
      </c>
      <c r="AK192" s="103"/>
      <c r="AL192" s="103"/>
      <c r="AM192" s="103"/>
      <c r="AN192" s="103">
        <v>75</v>
      </c>
      <c r="AO192" s="103"/>
      <c r="AP192" s="103">
        <v>92</v>
      </c>
      <c r="AQ192" s="103">
        <v>43</v>
      </c>
      <c r="AR192" s="103"/>
      <c r="AS192" s="103"/>
      <c r="AT192" s="103"/>
      <c r="AU192" s="103"/>
      <c r="AV192" s="103"/>
      <c r="AW192" s="104" t="str">
        <f>HYPERLINK("http://www.openstreetmap.org/?mlat=33.6138&amp;mlon=42.8629&amp;zoom=12#map=12/33.6138/42.8629","Maplink1")</f>
        <v>Maplink1</v>
      </c>
      <c r="AX192" s="104" t="str">
        <f>HYPERLINK("https://www.google.iq/maps/search/+33.6138,42.8629/@33.6138,42.8629,14z?hl=en","Maplink2")</f>
        <v>Maplink2</v>
      </c>
      <c r="AY192" s="104" t="str">
        <f>HYPERLINK("http://www.bing.com/maps/?lvl=14&amp;sty=h&amp;cp=33.6138~42.8629&amp;sp=point.33.6138_42.8629","Maplink3")</f>
        <v>Maplink3</v>
      </c>
    </row>
    <row r="193" spans="1:51" x14ac:dyDescent="0.2">
      <c r="A193" s="102">
        <v>39</v>
      </c>
      <c r="B193" s="103" t="s">
        <v>29</v>
      </c>
      <c r="C193" s="103" t="s">
        <v>82</v>
      </c>
      <c r="D193" s="103" t="s">
        <v>558</v>
      </c>
      <c r="E193" s="103" t="s">
        <v>559</v>
      </c>
      <c r="F193" s="103">
        <v>33.95778</v>
      </c>
      <c r="G193" s="103">
        <v>42.561230000000002</v>
      </c>
      <c r="H193" s="102">
        <v>93</v>
      </c>
      <c r="I193" s="102">
        <v>558</v>
      </c>
      <c r="J193" s="103"/>
      <c r="K193" s="103"/>
      <c r="L193" s="103"/>
      <c r="M193" s="103">
        <v>93</v>
      </c>
      <c r="N193" s="103"/>
      <c r="O193" s="103"/>
      <c r="P193" s="103"/>
      <c r="Q193" s="103"/>
      <c r="R193" s="103"/>
      <c r="S193" s="103"/>
      <c r="T193" s="103"/>
      <c r="U193" s="103"/>
      <c r="V193" s="103"/>
      <c r="W193" s="103">
        <v>13</v>
      </c>
      <c r="X193" s="103"/>
      <c r="Y193" s="103"/>
      <c r="Z193" s="103"/>
      <c r="AA193" s="103">
        <v>27</v>
      </c>
      <c r="AB193" s="103"/>
      <c r="AC193" s="103">
        <v>33</v>
      </c>
      <c r="AD193" s="103"/>
      <c r="AE193" s="103"/>
      <c r="AF193" s="103"/>
      <c r="AG193" s="103"/>
      <c r="AH193" s="103"/>
      <c r="AI193" s="103"/>
      <c r="AJ193" s="103">
        <v>20</v>
      </c>
      <c r="AK193" s="103"/>
      <c r="AL193" s="103"/>
      <c r="AM193" s="103"/>
      <c r="AN193" s="103"/>
      <c r="AO193" s="103"/>
      <c r="AP193" s="103">
        <v>93</v>
      </c>
      <c r="AQ193" s="103"/>
      <c r="AR193" s="103"/>
      <c r="AS193" s="103"/>
      <c r="AT193" s="103"/>
      <c r="AU193" s="103"/>
      <c r="AV193" s="103"/>
      <c r="AW193" s="104" t="str">
        <f>HYPERLINK("http://www.openstreetmap.org/?mlat=33.9578&amp;mlon=42.5612&amp;zoom=12#map=12/33.9578/42.5612","Maplink1")</f>
        <v>Maplink1</v>
      </c>
      <c r="AX193" s="104" t="str">
        <f>HYPERLINK("https://www.google.iq/maps/search/+33.9578,42.5612/@33.9578,42.5612,14z?hl=en","Maplink2")</f>
        <v>Maplink2</v>
      </c>
      <c r="AY193" s="104" t="str">
        <f>HYPERLINK("http://www.bing.com/maps/?lvl=14&amp;sty=h&amp;cp=33.9578~42.5612&amp;sp=point.33.9578_42.5612","Maplink3")</f>
        <v>Maplink3</v>
      </c>
    </row>
    <row r="194" spans="1:51" x14ac:dyDescent="0.2">
      <c r="A194" s="102">
        <v>137</v>
      </c>
      <c r="B194" s="103" t="s">
        <v>29</v>
      </c>
      <c r="C194" s="103" t="s">
        <v>82</v>
      </c>
      <c r="D194" s="103" t="s">
        <v>538</v>
      </c>
      <c r="E194" s="103" t="s">
        <v>539</v>
      </c>
      <c r="F194" s="103">
        <v>33.604551124499999</v>
      </c>
      <c r="G194" s="103">
        <v>42.888981999999999</v>
      </c>
      <c r="H194" s="102">
        <v>275</v>
      </c>
      <c r="I194" s="102">
        <v>1650</v>
      </c>
      <c r="J194" s="103"/>
      <c r="K194" s="103"/>
      <c r="L194" s="103"/>
      <c r="M194" s="103">
        <v>275</v>
      </c>
      <c r="N194" s="103"/>
      <c r="O194" s="103"/>
      <c r="P194" s="103"/>
      <c r="Q194" s="103"/>
      <c r="R194" s="103"/>
      <c r="S194" s="103"/>
      <c r="T194" s="103"/>
      <c r="U194" s="103">
        <v>173</v>
      </c>
      <c r="V194" s="103"/>
      <c r="W194" s="103">
        <v>55</v>
      </c>
      <c r="X194" s="103"/>
      <c r="Y194" s="103"/>
      <c r="Z194" s="103"/>
      <c r="AA194" s="103">
        <v>47</v>
      </c>
      <c r="AB194" s="103"/>
      <c r="AC194" s="103"/>
      <c r="AD194" s="103"/>
      <c r="AE194" s="103"/>
      <c r="AF194" s="103"/>
      <c r="AG194" s="103"/>
      <c r="AH194" s="103"/>
      <c r="AI194" s="103"/>
      <c r="AJ194" s="103"/>
      <c r="AK194" s="103"/>
      <c r="AL194" s="103"/>
      <c r="AM194" s="103"/>
      <c r="AN194" s="103"/>
      <c r="AO194" s="103"/>
      <c r="AP194" s="103">
        <v>130</v>
      </c>
      <c r="AQ194" s="103">
        <v>58</v>
      </c>
      <c r="AR194" s="103">
        <v>87</v>
      </c>
      <c r="AS194" s="103"/>
      <c r="AT194" s="103"/>
      <c r="AU194" s="103"/>
      <c r="AV194" s="103"/>
      <c r="AW194" s="104" t="str">
        <f>HYPERLINK("http://www.openstreetmap.org/?mlat=33.6046&amp;mlon=42.889&amp;zoom=12#map=12/33.6046/42.889","Maplink1")</f>
        <v>Maplink1</v>
      </c>
      <c r="AX194" s="104" t="str">
        <f>HYPERLINK("https://www.google.iq/maps/search/+33.6046,42.889/@33.6046,42.889,14z?hl=en","Maplink2")</f>
        <v>Maplink2</v>
      </c>
      <c r="AY194" s="104" t="str">
        <f>HYPERLINK("http://www.bing.com/maps/?lvl=14&amp;sty=h&amp;cp=33.6046~42.889&amp;sp=point.33.6046_42.889","Maplink3")</f>
        <v>Maplink3</v>
      </c>
    </row>
    <row r="195" spans="1:51" x14ac:dyDescent="0.2">
      <c r="A195" s="102">
        <v>33954</v>
      </c>
      <c r="B195" s="103" t="s">
        <v>29</v>
      </c>
      <c r="C195" s="103" t="s">
        <v>82</v>
      </c>
      <c r="D195" s="103" t="s">
        <v>540</v>
      </c>
      <c r="E195" s="103" t="s">
        <v>541</v>
      </c>
      <c r="F195" s="103">
        <v>33.567689999999999</v>
      </c>
      <c r="G195" s="103">
        <v>42.914870000000001</v>
      </c>
      <c r="H195" s="102">
        <v>546</v>
      </c>
      <c r="I195" s="102">
        <v>3276</v>
      </c>
      <c r="J195" s="103"/>
      <c r="K195" s="103"/>
      <c r="L195" s="103"/>
      <c r="M195" s="103">
        <v>546</v>
      </c>
      <c r="N195" s="103"/>
      <c r="O195" s="103"/>
      <c r="P195" s="103"/>
      <c r="Q195" s="103"/>
      <c r="R195" s="103"/>
      <c r="S195" s="103"/>
      <c r="T195" s="103"/>
      <c r="U195" s="103"/>
      <c r="V195" s="103"/>
      <c r="W195" s="103">
        <v>46</v>
      </c>
      <c r="X195" s="103"/>
      <c r="Y195" s="103"/>
      <c r="Z195" s="103"/>
      <c r="AA195" s="103">
        <v>175</v>
      </c>
      <c r="AB195" s="103"/>
      <c r="AC195" s="103">
        <v>125</v>
      </c>
      <c r="AD195" s="103"/>
      <c r="AE195" s="103"/>
      <c r="AF195" s="103"/>
      <c r="AG195" s="103"/>
      <c r="AH195" s="103"/>
      <c r="AI195" s="103"/>
      <c r="AJ195" s="103">
        <v>200</v>
      </c>
      <c r="AK195" s="103"/>
      <c r="AL195" s="103"/>
      <c r="AM195" s="103"/>
      <c r="AN195" s="103"/>
      <c r="AO195" s="103"/>
      <c r="AP195" s="103">
        <v>340</v>
      </c>
      <c r="AQ195" s="103">
        <v>206</v>
      </c>
      <c r="AR195" s="103"/>
      <c r="AS195" s="103"/>
      <c r="AT195" s="103"/>
      <c r="AU195" s="103"/>
      <c r="AV195" s="103"/>
      <c r="AW195" s="104" t="str">
        <f>HYPERLINK("http://www.openstreetmap.org/?mlat=33.5677&amp;mlon=42.9149&amp;zoom=12#map=12/33.5677/42.9149","Maplink1")</f>
        <v>Maplink1</v>
      </c>
      <c r="AX195" s="104" t="str">
        <f>HYPERLINK("https://www.google.iq/maps/search/+33.5677,42.9149/@33.5677,42.9149,14z?hl=en","Maplink2")</f>
        <v>Maplink2</v>
      </c>
      <c r="AY195" s="104" t="str">
        <f>HYPERLINK("http://www.bing.com/maps/?lvl=14&amp;sty=h&amp;cp=33.5677~42.9149&amp;sp=point.33.5677_42.9149","Maplink3")</f>
        <v>Maplink3</v>
      </c>
    </row>
    <row r="196" spans="1:51" x14ac:dyDescent="0.2">
      <c r="A196" s="102">
        <v>67</v>
      </c>
      <c r="B196" s="103" t="s">
        <v>29</v>
      </c>
      <c r="C196" s="103" t="s">
        <v>82</v>
      </c>
      <c r="D196" s="103" t="s">
        <v>542</v>
      </c>
      <c r="E196" s="103" t="s">
        <v>543</v>
      </c>
      <c r="F196" s="103">
        <v>33.662483000000002</v>
      </c>
      <c r="G196" s="103">
        <v>42.803925</v>
      </c>
      <c r="H196" s="102">
        <v>66</v>
      </c>
      <c r="I196" s="102">
        <v>396</v>
      </c>
      <c r="J196" s="103"/>
      <c r="K196" s="103"/>
      <c r="L196" s="103"/>
      <c r="M196" s="103">
        <v>66</v>
      </c>
      <c r="N196" s="103"/>
      <c r="O196" s="103"/>
      <c r="P196" s="103"/>
      <c r="Q196" s="103"/>
      <c r="R196" s="103"/>
      <c r="S196" s="103"/>
      <c r="T196" s="103"/>
      <c r="U196" s="103">
        <v>41</v>
      </c>
      <c r="V196" s="103"/>
      <c r="W196" s="103">
        <v>19</v>
      </c>
      <c r="X196" s="103"/>
      <c r="Y196" s="103"/>
      <c r="Z196" s="103"/>
      <c r="AA196" s="103"/>
      <c r="AB196" s="103"/>
      <c r="AC196" s="103">
        <v>6</v>
      </c>
      <c r="AD196" s="103"/>
      <c r="AE196" s="103"/>
      <c r="AF196" s="103"/>
      <c r="AG196" s="103"/>
      <c r="AH196" s="103"/>
      <c r="AI196" s="103"/>
      <c r="AJ196" s="103"/>
      <c r="AK196" s="103"/>
      <c r="AL196" s="103"/>
      <c r="AM196" s="103"/>
      <c r="AN196" s="103"/>
      <c r="AO196" s="103"/>
      <c r="AP196" s="103">
        <v>37</v>
      </c>
      <c r="AQ196" s="103"/>
      <c r="AR196" s="103">
        <v>29</v>
      </c>
      <c r="AS196" s="103"/>
      <c r="AT196" s="103"/>
      <c r="AU196" s="103"/>
      <c r="AV196" s="103"/>
      <c r="AW196" s="104" t="str">
        <f>HYPERLINK("http://www.openstreetmap.org/?mlat=33.6625&amp;mlon=42.8039&amp;zoom=12#map=12/33.6625/42.8039","Maplink1")</f>
        <v>Maplink1</v>
      </c>
      <c r="AX196" s="104" t="str">
        <f>HYPERLINK("https://www.google.iq/maps/search/+33.6625,42.8039/@33.6625,42.8039,14z?hl=en","Maplink2")</f>
        <v>Maplink2</v>
      </c>
      <c r="AY196" s="104" t="str">
        <f>HYPERLINK("http://www.bing.com/maps/?lvl=14&amp;sty=h&amp;cp=33.6625~42.8039&amp;sp=point.33.6625_42.8039","Maplink3")</f>
        <v>Maplink3</v>
      </c>
    </row>
    <row r="197" spans="1:51" x14ac:dyDescent="0.2">
      <c r="A197" s="102">
        <v>21473</v>
      </c>
      <c r="B197" s="103" t="s">
        <v>29</v>
      </c>
      <c r="C197" s="103" t="s">
        <v>82</v>
      </c>
      <c r="D197" s="103" t="s">
        <v>485</v>
      </c>
      <c r="E197" s="103" t="s">
        <v>486</v>
      </c>
      <c r="F197" s="103">
        <v>33.532139999999998</v>
      </c>
      <c r="G197" s="103">
        <v>43.040509999999998</v>
      </c>
      <c r="H197" s="102">
        <v>186</v>
      </c>
      <c r="I197" s="102">
        <v>1116</v>
      </c>
      <c r="J197" s="103"/>
      <c r="K197" s="103"/>
      <c r="L197" s="103"/>
      <c r="M197" s="103">
        <v>186</v>
      </c>
      <c r="N197" s="103"/>
      <c r="O197" s="103"/>
      <c r="P197" s="103"/>
      <c r="Q197" s="103"/>
      <c r="R197" s="103"/>
      <c r="S197" s="103"/>
      <c r="T197" s="103"/>
      <c r="U197" s="103">
        <v>20</v>
      </c>
      <c r="V197" s="103"/>
      <c r="W197" s="103">
        <v>26</v>
      </c>
      <c r="X197" s="103"/>
      <c r="Y197" s="103"/>
      <c r="Z197" s="103"/>
      <c r="AA197" s="103">
        <v>40</v>
      </c>
      <c r="AB197" s="103"/>
      <c r="AC197" s="103">
        <v>55</v>
      </c>
      <c r="AD197" s="103"/>
      <c r="AE197" s="103"/>
      <c r="AF197" s="103"/>
      <c r="AG197" s="103"/>
      <c r="AH197" s="103"/>
      <c r="AI197" s="103"/>
      <c r="AJ197" s="103">
        <v>45</v>
      </c>
      <c r="AK197" s="103"/>
      <c r="AL197" s="103"/>
      <c r="AM197" s="103"/>
      <c r="AN197" s="103"/>
      <c r="AO197" s="103"/>
      <c r="AP197" s="103">
        <v>87</v>
      </c>
      <c r="AQ197" s="103">
        <v>99</v>
      </c>
      <c r="AR197" s="103"/>
      <c r="AS197" s="103"/>
      <c r="AT197" s="103"/>
      <c r="AU197" s="103"/>
      <c r="AV197" s="103"/>
      <c r="AW197" s="104" t="str">
        <f>HYPERLINK("http://www.openstreetmap.org/?mlat=33.5321&amp;mlon=43.0405&amp;zoom=12#map=12/33.5321/43.0405","Maplink1")</f>
        <v>Maplink1</v>
      </c>
      <c r="AX197" s="104" t="str">
        <f>HYPERLINK("https://www.google.iq/maps/search/+33.5321,43.0405/@33.5321,43.0405,14z?hl=en","Maplink2")</f>
        <v>Maplink2</v>
      </c>
      <c r="AY197" s="104" t="str">
        <f>HYPERLINK("http://www.bing.com/maps/?lvl=14&amp;sty=h&amp;cp=33.5321~43.0405&amp;sp=point.33.5321_43.0405","Maplink3")</f>
        <v>Maplink3</v>
      </c>
    </row>
    <row r="198" spans="1:51" x14ac:dyDescent="0.2">
      <c r="A198" s="102">
        <v>33958</v>
      </c>
      <c r="B198" s="103" t="s">
        <v>29</v>
      </c>
      <c r="C198" s="103" t="s">
        <v>82</v>
      </c>
      <c r="D198" s="103" t="s">
        <v>487</v>
      </c>
      <c r="E198" s="103" t="s">
        <v>488</v>
      </c>
      <c r="F198" s="103">
        <v>33.649762000000003</v>
      </c>
      <c r="G198" s="103">
        <v>42.822696000000001</v>
      </c>
      <c r="H198" s="102">
        <v>118</v>
      </c>
      <c r="I198" s="102">
        <v>708</v>
      </c>
      <c r="J198" s="103"/>
      <c r="K198" s="103"/>
      <c r="L198" s="103"/>
      <c r="M198" s="103">
        <v>118</v>
      </c>
      <c r="N198" s="103"/>
      <c r="O198" s="103"/>
      <c r="P198" s="103"/>
      <c r="Q198" s="103"/>
      <c r="R198" s="103"/>
      <c r="S198" s="103"/>
      <c r="T198" s="103"/>
      <c r="U198" s="103">
        <v>74</v>
      </c>
      <c r="V198" s="103"/>
      <c r="W198" s="103">
        <v>29</v>
      </c>
      <c r="X198" s="103"/>
      <c r="Y198" s="103"/>
      <c r="Z198" s="103"/>
      <c r="AA198" s="103">
        <v>15</v>
      </c>
      <c r="AB198" s="103"/>
      <c r="AC198" s="103"/>
      <c r="AD198" s="103"/>
      <c r="AE198" s="103"/>
      <c r="AF198" s="103"/>
      <c r="AG198" s="103"/>
      <c r="AH198" s="103"/>
      <c r="AI198" s="103"/>
      <c r="AJ198" s="103"/>
      <c r="AK198" s="103"/>
      <c r="AL198" s="103"/>
      <c r="AM198" s="103"/>
      <c r="AN198" s="103"/>
      <c r="AO198" s="103"/>
      <c r="AP198" s="103">
        <v>68</v>
      </c>
      <c r="AQ198" s="103"/>
      <c r="AR198" s="103"/>
      <c r="AS198" s="103"/>
      <c r="AT198" s="103">
        <v>50</v>
      </c>
      <c r="AU198" s="103"/>
      <c r="AV198" s="103"/>
      <c r="AW198" s="104" t="str">
        <f>HYPERLINK("http://www.openstreetmap.org/?mlat=33.6498&amp;mlon=42.8227&amp;zoom=12#map=12/33.6498/42.8227","Maplink1")</f>
        <v>Maplink1</v>
      </c>
      <c r="AX198" s="104" t="str">
        <f>HYPERLINK("https://www.google.iq/maps/search/+33.6498,42.8227/@33.6498,42.8227,14z?hl=en","Maplink2")</f>
        <v>Maplink2</v>
      </c>
      <c r="AY198" s="104" t="str">
        <f>HYPERLINK("http://www.bing.com/maps/?lvl=14&amp;sty=h&amp;cp=33.6498~42.8227&amp;sp=point.33.6498_42.8227","Maplink3")</f>
        <v>Maplink3</v>
      </c>
    </row>
    <row r="199" spans="1:51" x14ac:dyDescent="0.2">
      <c r="A199" s="102">
        <v>33824</v>
      </c>
      <c r="B199" s="103" t="s">
        <v>29</v>
      </c>
      <c r="C199" s="103" t="s">
        <v>82</v>
      </c>
      <c r="D199" s="103" t="s">
        <v>560</v>
      </c>
      <c r="E199" s="103" t="s">
        <v>561</v>
      </c>
      <c r="F199" s="103">
        <v>33.628441000000002</v>
      </c>
      <c r="G199" s="103">
        <v>42.836747000000003</v>
      </c>
      <c r="H199" s="102">
        <v>523</v>
      </c>
      <c r="I199" s="102">
        <v>3138</v>
      </c>
      <c r="J199" s="103"/>
      <c r="K199" s="103"/>
      <c r="L199" s="103"/>
      <c r="M199" s="103">
        <v>523</v>
      </c>
      <c r="N199" s="103"/>
      <c r="O199" s="103"/>
      <c r="P199" s="103"/>
      <c r="Q199" s="103"/>
      <c r="R199" s="103"/>
      <c r="S199" s="103"/>
      <c r="T199" s="103"/>
      <c r="U199" s="103">
        <v>174</v>
      </c>
      <c r="V199" s="103"/>
      <c r="W199" s="103">
        <v>160</v>
      </c>
      <c r="X199" s="103"/>
      <c r="Y199" s="103"/>
      <c r="Z199" s="103"/>
      <c r="AA199" s="103">
        <v>78</v>
      </c>
      <c r="AB199" s="103"/>
      <c r="AC199" s="103">
        <v>27</v>
      </c>
      <c r="AD199" s="103"/>
      <c r="AE199" s="103"/>
      <c r="AF199" s="103"/>
      <c r="AG199" s="103"/>
      <c r="AH199" s="103"/>
      <c r="AI199" s="103"/>
      <c r="AJ199" s="103">
        <v>84</v>
      </c>
      <c r="AK199" s="103"/>
      <c r="AL199" s="103"/>
      <c r="AM199" s="103"/>
      <c r="AN199" s="103"/>
      <c r="AO199" s="103"/>
      <c r="AP199" s="103">
        <v>183</v>
      </c>
      <c r="AQ199" s="103">
        <v>217</v>
      </c>
      <c r="AR199" s="103">
        <v>123</v>
      </c>
      <c r="AS199" s="103"/>
      <c r="AT199" s="103"/>
      <c r="AU199" s="103"/>
      <c r="AV199" s="103"/>
      <c r="AW199" s="104" t="str">
        <f>HYPERLINK("http://www.openstreetmap.org/?mlat=33.6284&amp;mlon=42.8367&amp;zoom=12#map=12/33.6284/42.8367","Maplink1")</f>
        <v>Maplink1</v>
      </c>
      <c r="AX199" s="104" t="str">
        <f>HYPERLINK("https://www.google.iq/maps/search/+33.6284,42.8367/@33.6284,42.8367,14z?hl=en","Maplink2")</f>
        <v>Maplink2</v>
      </c>
      <c r="AY199" s="104" t="str">
        <f>HYPERLINK("http://www.bing.com/maps/?lvl=14&amp;sty=h&amp;cp=33.6284~42.8367&amp;sp=point.33.6284_42.8367","Maplink3")</f>
        <v>Maplink3</v>
      </c>
    </row>
    <row r="200" spans="1:51" x14ac:dyDescent="0.2">
      <c r="A200" s="102">
        <v>23848</v>
      </c>
      <c r="B200" s="103" t="s">
        <v>29</v>
      </c>
      <c r="C200" s="103" t="s">
        <v>82</v>
      </c>
      <c r="D200" s="103" t="s">
        <v>524</v>
      </c>
      <c r="E200" s="103" t="s">
        <v>525</v>
      </c>
      <c r="F200" s="103">
        <v>33.567462276299999</v>
      </c>
      <c r="G200" s="103">
        <v>42.915837281800002</v>
      </c>
      <c r="H200" s="102">
        <v>400</v>
      </c>
      <c r="I200" s="102">
        <v>2400</v>
      </c>
      <c r="J200" s="103"/>
      <c r="K200" s="103"/>
      <c r="L200" s="103"/>
      <c r="M200" s="103">
        <v>400</v>
      </c>
      <c r="N200" s="103"/>
      <c r="O200" s="103"/>
      <c r="P200" s="103"/>
      <c r="Q200" s="103"/>
      <c r="R200" s="103"/>
      <c r="S200" s="103"/>
      <c r="T200" s="103"/>
      <c r="U200" s="103"/>
      <c r="V200" s="103"/>
      <c r="W200" s="103">
        <v>125</v>
      </c>
      <c r="X200" s="103"/>
      <c r="Y200" s="103"/>
      <c r="Z200" s="103"/>
      <c r="AA200" s="103">
        <v>90</v>
      </c>
      <c r="AB200" s="103"/>
      <c r="AC200" s="103">
        <v>114</v>
      </c>
      <c r="AD200" s="103"/>
      <c r="AE200" s="103"/>
      <c r="AF200" s="103"/>
      <c r="AG200" s="103"/>
      <c r="AH200" s="103"/>
      <c r="AI200" s="103"/>
      <c r="AJ200" s="103">
        <v>71</v>
      </c>
      <c r="AK200" s="103"/>
      <c r="AL200" s="103"/>
      <c r="AM200" s="103"/>
      <c r="AN200" s="103">
        <v>25</v>
      </c>
      <c r="AO200" s="103"/>
      <c r="AP200" s="103">
        <v>200</v>
      </c>
      <c r="AQ200" s="103">
        <v>175</v>
      </c>
      <c r="AR200" s="103"/>
      <c r="AS200" s="103"/>
      <c r="AT200" s="103"/>
      <c r="AU200" s="103"/>
      <c r="AV200" s="103"/>
      <c r="AW200" s="104" t="str">
        <f>HYPERLINK("http://www.openstreetmap.org/?mlat=33.5675&amp;mlon=42.9158&amp;zoom=12#map=12/33.5675/42.9158","Maplink1")</f>
        <v>Maplink1</v>
      </c>
      <c r="AX200" s="104" t="str">
        <f>HYPERLINK("https://www.google.iq/maps/search/+33.5675,42.9158/@33.5675,42.9158,14z?hl=en","Maplink2")</f>
        <v>Maplink2</v>
      </c>
      <c r="AY200" s="104" t="str">
        <f>HYPERLINK("http://www.bing.com/maps/?lvl=14&amp;sty=h&amp;cp=33.5675~42.9158&amp;sp=point.33.5675_42.9158","Maplink3")</f>
        <v>Maplink3</v>
      </c>
    </row>
    <row r="201" spans="1:51" x14ac:dyDescent="0.2">
      <c r="A201" s="102">
        <v>163</v>
      </c>
      <c r="B201" s="103" t="s">
        <v>29</v>
      </c>
      <c r="C201" s="103" t="s">
        <v>82</v>
      </c>
      <c r="D201" s="103" t="s">
        <v>519</v>
      </c>
      <c r="E201" s="103" t="s">
        <v>520</v>
      </c>
      <c r="F201" s="103">
        <v>33.649581451499998</v>
      </c>
      <c r="G201" s="103">
        <v>42.831342857300001</v>
      </c>
      <c r="H201" s="102">
        <v>1033</v>
      </c>
      <c r="I201" s="102">
        <v>6198</v>
      </c>
      <c r="J201" s="103"/>
      <c r="K201" s="103"/>
      <c r="L201" s="103">
        <v>15</v>
      </c>
      <c r="M201" s="103">
        <v>1018</v>
      </c>
      <c r="N201" s="103"/>
      <c r="O201" s="103"/>
      <c r="P201" s="103"/>
      <c r="Q201" s="103"/>
      <c r="R201" s="103"/>
      <c r="S201" s="103"/>
      <c r="T201" s="103"/>
      <c r="U201" s="103">
        <v>205</v>
      </c>
      <c r="V201" s="103"/>
      <c r="W201" s="103">
        <v>510</v>
      </c>
      <c r="X201" s="103"/>
      <c r="Y201" s="103"/>
      <c r="Z201" s="103"/>
      <c r="AA201" s="103">
        <v>95</v>
      </c>
      <c r="AB201" s="103"/>
      <c r="AC201" s="103">
        <v>178</v>
      </c>
      <c r="AD201" s="103"/>
      <c r="AE201" s="103"/>
      <c r="AF201" s="103"/>
      <c r="AG201" s="103"/>
      <c r="AH201" s="103"/>
      <c r="AI201" s="103"/>
      <c r="AJ201" s="103">
        <v>45</v>
      </c>
      <c r="AK201" s="103"/>
      <c r="AL201" s="103"/>
      <c r="AM201" s="103"/>
      <c r="AN201" s="103">
        <v>85</v>
      </c>
      <c r="AO201" s="103"/>
      <c r="AP201" s="103">
        <v>663</v>
      </c>
      <c r="AQ201" s="103">
        <v>285</v>
      </c>
      <c r="AR201" s="103"/>
      <c r="AS201" s="103"/>
      <c r="AT201" s="103"/>
      <c r="AU201" s="103"/>
      <c r="AV201" s="103"/>
      <c r="AW201" s="104" t="str">
        <f>HYPERLINK("http://www.openstreetmap.org/?mlat=33.6496&amp;mlon=42.8313&amp;zoom=12#map=12/33.6496/42.8313","Maplink1")</f>
        <v>Maplink1</v>
      </c>
      <c r="AX201" s="104" t="str">
        <f>HYPERLINK("https://www.google.iq/maps/search/+33.6496,42.8313/@33.6496,42.8313,14z?hl=en","Maplink2")</f>
        <v>Maplink2</v>
      </c>
      <c r="AY201" s="104" t="str">
        <f>HYPERLINK("http://www.bing.com/maps/?lvl=14&amp;sty=h&amp;cp=33.6496~42.8313&amp;sp=point.33.6496_42.8313","Maplink3")</f>
        <v>Maplink3</v>
      </c>
    </row>
    <row r="202" spans="1:51" x14ac:dyDescent="0.2">
      <c r="A202" s="102">
        <v>33823</v>
      </c>
      <c r="B202" s="103" t="s">
        <v>29</v>
      </c>
      <c r="C202" s="103" t="s">
        <v>82</v>
      </c>
      <c r="D202" s="103" t="s">
        <v>521</v>
      </c>
      <c r="E202" s="103" t="s">
        <v>357</v>
      </c>
      <c r="F202" s="103">
        <v>33.645780000000002</v>
      </c>
      <c r="G202" s="103">
        <v>42.801070000000003</v>
      </c>
      <c r="H202" s="102">
        <v>275</v>
      </c>
      <c r="I202" s="102">
        <v>1650</v>
      </c>
      <c r="J202" s="103"/>
      <c r="K202" s="103"/>
      <c r="L202" s="103"/>
      <c r="M202" s="103">
        <v>275</v>
      </c>
      <c r="N202" s="103"/>
      <c r="O202" s="103"/>
      <c r="P202" s="103"/>
      <c r="Q202" s="103"/>
      <c r="R202" s="103"/>
      <c r="S202" s="103"/>
      <c r="T202" s="103"/>
      <c r="U202" s="103">
        <v>173</v>
      </c>
      <c r="V202" s="103"/>
      <c r="W202" s="103">
        <v>55</v>
      </c>
      <c r="X202" s="103"/>
      <c r="Y202" s="103"/>
      <c r="Z202" s="103"/>
      <c r="AA202" s="103">
        <v>47</v>
      </c>
      <c r="AB202" s="103"/>
      <c r="AC202" s="103"/>
      <c r="AD202" s="103"/>
      <c r="AE202" s="103"/>
      <c r="AF202" s="103"/>
      <c r="AG202" s="103"/>
      <c r="AH202" s="103"/>
      <c r="AI202" s="103"/>
      <c r="AJ202" s="103"/>
      <c r="AK202" s="103"/>
      <c r="AL202" s="103"/>
      <c r="AM202" s="103"/>
      <c r="AN202" s="103"/>
      <c r="AO202" s="103"/>
      <c r="AP202" s="103">
        <v>130</v>
      </c>
      <c r="AQ202" s="103">
        <v>58</v>
      </c>
      <c r="AR202" s="103">
        <v>87</v>
      </c>
      <c r="AS202" s="103"/>
      <c r="AT202" s="103"/>
      <c r="AU202" s="103"/>
      <c r="AV202" s="103"/>
      <c r="AW202" s="104" t="str">
        <f>HYPERLINK("http://www.openstreetmap.org/?mlat=33.6458&amp;mlon=42.8011&amp;zoom=12#map=12/33.6458/42.8011","Maplink1")</f>
        <v>Maplink1</v>
      </c>
      <c r="AX202" s="104" t="str">
        <f>HYPERLINK("https://www.google.iq/maps/search/+33.6458,42.8011/@33.6458,42.8011,14z?hl=en","Maplink2")</f>
        <v>Maplink2</v>
      </c>
      <c r="AY202" s="104" t="str">
        <f>HYPERLINK("http://www.bing.com/maps/?lvl=14&amp;sty=h&amp;cp=33.6458~42.8011&amp;sp=point.33.6458_42.8011","Maplink3")</f>
        <v>Maplink3</v>
      </c>
    </row>
    <row r="203" spans="1:51" x14ac:dyDescent="0.2">
      <c r="A203" s="102">
        <v>23890</v>
      </c>
      <c r="B203" s="103" t="s">
        <v>29</v>
      </c>
      <c r="C203" s="103" t="s">
        <v>82</v>
      </c>
      <c r="D203" s="103" t="s">
        <v>569</v>
      </c>
      <c r="E203" s="103" t="s">
        <v>570</v>
      </c>
      <c r="F203" s="103">
        <v>33.882842308900003</v>
      </c>
      <c r="G203" s="103">
        <v>42.522338643499999</v>
      </c>
      <c r="H203" s="102">
        <v>239</v>
      </c>
      <c r="I203" s="102">
        <v>1434</v>
      </c>
      <c r="J203" s="103"/>
      <c r="K203" s="103"/>
      <c r="L203" s="103"/>
      <c r="M203" s="103">
        <v>239</v>
      </c>
      <c r="N203" s="103"/>
      <c r="O203" s="103"/>
      <c r="P203" s="103"/>
      <c r="Q203" s="103"/>
      <c r="R203" s="103"/>
      <c r="S203" s="103"/>
      <c r="T203" s="103"/>
      <c r="U203" s="103">
        <v>14</v>
      </c>
      <c r="V203" s="103"/>
      <c r="W203" s="103">
        <v>100</v>
      </c>
      <c r="X203" s="103"/>
      <c r="Y203" s="103"/>
      <c r="Z203" s="103"/>
      <c r="AA203" s="103">
        <v>49</v>
      </c>
      <c r="AB203" s="103"/>
      <c r="AC203" s="103"/>
      <c r="AD203" s="103"/>
      <c r="AE203" s="103"/>
      <c r="AF203" s="103"/>
      <c r="AG203" s="103"/>
      <c r="AH203" s="103"/>
      <c r="AI203" s="103"/>
      <c r="AJ203" s="103">
        <v>76</v>
      </c>
      <c r="AK203" s="103"/>
      <c r="AL203" s="103"/>
      <c r="AM203" s="103"/>
      <c r="AN203" s="103">
        <v>14</v>
      </c>
      <c r="AO203" s="103"/>
      <c r="AP203" s="103">
        <v>105</v>
      </c>
      <c r="AQ203" s="103">
        <v>120</v>
      </c>
      <c r="AR203" s="103"/>
      <c r="AS203" s="103"/>
      <c r="AT203" s="103"/>
      <c r="AU203" s="103"/>
      <c r="AV203" s="103"/>
      <c r="AW203" s="104" t="str">
        <f>HYPERLINK("http://www.openstreetmap.org/?mlat=33.8828&amp;mlon=42.5223&amp;zoom=12#map=12/33.8828/42.5223","Maplink1")</f>
        <v>Maplink1</v>
      </c>
      <c r="AX203" s="104" t="str">
        <f>HYPERLINK("https://www.google.iq/maps/search/+33.8828,42.5223/@33.8828,42.5223,14z?hl=en","Maplink2")</f>
        <v>Maplink2</v>
      </c>
      <c r="AY203" s="104" t="str">
        <f>HYPERLINK("http://www.bing.com/maps/?lvl=14&amp;sty=h&amp;cp=33.8828~42.5223&amp;sp=point.33.8828_42.5223","Maplink3")</f>
        <v>Maplink3</v>
      </c>
    </row>
    <row r="204" spans="1:51" x14ac:dyDescent="0.2">
      <c r="A204" s="102">
        <v>5</v>
      </c>
      <c r="B204" s="103" t="s">
        <v>29</v>
      </c>
      <c r="C204" s="103" t="s">
        <v>82</v>
      </c>
      <c r="D204" s="103" t="s">
        <v>571</v>
      </c>
      <c r="E204" s="103" t="s">
        <v>572</v>
      </c>
      <c r="F204" s="103">
        <v>33.591488100600003</v>
      </c>
      <c r="G204" s="103">
        <v>42.613172161000001</v>
      </c>
      <c r="H204" s="102">
        <v>240</v>
      </c>
      <c r="I204" s="102">
        <v>1440</v>
      </c>
      <c r="J204" s="103"/>
      <c r="K204" s="103"/>
      <c r="L204" s="103">
        <v>1</v>
      </c>
      <c r="M204" s="103">
        <v>239</v>
      </c>
      <c r="N204" s="103"/>
      <c r="O204" s="103"/>
      <c r="P204" s="103"/>
      <c r="Q204" s="103"/>
      <c r="R204" s="103"/>
      <c r="S204" s="103"/>
      <c r="T204" s="103"/>
      <c r="U204" s="103">
        <v>123</v>
      </c>
      <c r="V204" s="103"/>
      <c r="W204" s="103"/>
      <c r="X204" s="103"/>
      <c r="Y204" s="103"/>
      <c r="Z204" s="103"/>
      <c r="AA204" s="103">
        <v>20</v>
      </c>
      <c r="AB204" s="103">
        <v>22</v>
      </c>
      <c r="AC204" s="103">
        <v>19</v>
      </c>
      <c r="AD204" s="103"/>
      <c r="AE204" s="103"/>
      <c r="AF204" s="103"/>
      <c r="AG204" s="103"/>
      <c r="AH204" s="103"/>
      <c r="AI204" s="103"/>
      <c r="AJ204" s="103">
        <v>56</v>
      </c>
      <c r="AK204" s="103"/>
      <c r="AL204" s="103"/>
      <c r="AM204" s="103">
        <v>127</v>
      </c>
      <c r="AN204" s="103">
        <v>20</v>
      </c>
      <c r="AO204" s="103"/>
      <c r="AP204" s="103">
        <v>35</v>
      </c>
      <c r="AQ204" s="103">
        <v>35</v>
      </c>
      <c r="AR204" s="103">
        <v>23</v>
      </c>
      <c r="AS204" s="103"/>
      <c r="AT204" s="103"/>
      <c r="AU204" s="103"/>
      <c r="AV204" s="103"/>
      <c r="AW204" s="104" t="str">
        <f>HYPERLINK("http://www.openstreetmap.org/?mlat=33.5915&amp;mlon=42.6132&amp;zoom=12#map=12/33.5915/42.6132","Maplink1")</f>
        <v>Maplink1</v>
      </c>
      <c r="AX204" s="104" t="str">
        <f>HYPERLINK("https://www.google.iq/maps/search/+33.5915,42.6132/@33.5915,42.6132,14z?hl=en","Maplink2")</f>
        <v>Maplink2</v>
      </c>
      <c r="AY204" s="104" t="str">
        <f>HYPERLINK("http://www.bing.com/maps/?lvl=14&amp;sty=h&amp;cp=33.5915~42.6132&amp;sp=point.33.5915_42.6132","Maplink3")</f>
        <v>Maplink3</v>
      </c>
    </row>
    <row r="205" spans="1:51" x14ac:dyDescent="0.2">
      <c r="A205" s="102">
        <v>33948</v>
      </c>
      <c r="B205" s="103" t="s">
        <v>29</v>
      </c>
      <c r="C205" s="103" t="s">
        <v>82</v>
      </c>
      <c r="D205" s="103" t="s">
        <v>573</v>
      </c>
      <c r="E205" s="103" t="s">
        <v>574</v>
      </c>
      <c r="F205" s="103">
        <v>33.847059999999999</v>
      </c>
      <c r="G205" s="103">
        <v>42.54833</v>
      </c>
      <c r="H205" s="102">
        <v>173</v>
      </c>
      <c r="I205" s="102">
        <v>1038</v>
      </c>
      <c r="J205" s="103"/>
      <c r="K205" s="103"/>
      <c r="L205" s="103"/>
      <c r="M205" s="103">
        <v>173</v>
      </c>
      <c r="N205" s="103"/>
      <c r="O205" s="103"/>
      <c r="P205" s="103"/>
      <c r="Q205" s="103"/>
      <c r="R205" s="103"/>
      <c r="S205" s="103"/>
      <c r="T205" s="103"/>
      <c r="U205" s="103"/>
      <c r="V205" s="103"/>
      <c r="W205" s="103">
        <v>93</v>
      </c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>
        <v>80</v>
      </c>
      <c r="AK205" s="103"/>
      <c r="AL205" s="103"/>
      <c r="AM205" s="103"/>
      <c r="AN205" s="103"/>
      <c r="AO205" s="103"/>
      <c r="AP205" s="103">
        <v>88</v>
      </c>
      <c r="AQ205" s="103">
        <v>85</v>
      </c>
      <c r="AR205" s="103"/>
      <c r="AS205" s="103"/>
      <c r="AT205" s="103"/>
      <c r="AU205" s="103"/>
      <c r="AV205" s="103"/>
      <c r="AW205" s="104" t="str">
        <f>HYPERLINK("http://www.openstreetmap.org/?mlat=33.8471&amp;mlon=42.5483&amp;zoom=12#map=12/33.8471/42.5483","Maplink1")</f>
        <v>Maplink1</v>
      </c>
      <c r="AX205" s="104" t="str">
        <f>HYPERLINK("https://www.google.iq/maps/search/+33.8471,42.5483/@33.8471,42.5483,14z?hl=en","Maplink2")</f>
        <v>Maplink2</v>
      </c>
      <c r="AY205" s="104" t="str">
        <f>HYPERLINK("http://www.bing.com/maps/?lvl=14&amp;sty=h&amp;cp=33.8471~42.5483&amp;sp=point.33.8471_42.5483","Maplink3")</f>
        <v>Maplink3</v>
      </c>
    </row>
    <row r="206" spans="1:51" x14ac:dyDescent="0.2">
      <c r="A206" s="102">
        <v>228</v>
      </c>
      <c r="B206" s="103" t="s">
        <v>29</v>
      </c>
      <c r="C206" s="103" t="s">
        <v>82</v>
      </c>
      <c r="D206" s="103" t="s">
        <v>511</v>
      </c>
      <c r="E206" s="103" t="s">
        <v>512</v>
      </c>
      <c r="F206" s="103">
        <v>33.637210713599998</v>
      </c>
      <c r="G206" s="103">
        <v>42.821626513399998</v>
      </c>
      <c r="H206" s="102">
        <v>1649</v>
      </c>
      <c r="I206" s="102">
        <v>9894</v>
      </c>
      <c r="J206" s="103"/>
      <c r="K206" s="103"/>
      <c r="L206" s="103"/>
      <c r="M206" s="103">
        <v>1649</v>
      </c>
      <c r="N206" s="103"/>
      <c r="O206" s="103"/>
      <c r="P206" s="103"/>
      <c r="Q206" s="103"/>
      <c r="R206" s="103"/>
      <c r="S206" s="103"/>
      <c r="T206" s="103"/>
      <c r="U206" s="103">
        <v>969</v>
      </c>
      <c r="V206" s="103"/>
      <c r="W206" s="103">
        <v>276</v>
      </c>
      <c r="X206" s="103"/>
      <c r="Y206" s="103"/>
      <c r="Z206" s="103"/>
      <c r="AA206" s="103">
        <v>102</v>
      </c>
      <c r="AB206" s="103"/>
      <c r="AC206" s="103"/>
      <c r="AD206" s="103"/>
      <c r="AE206" s="103"/>
      <c r="AF206" s="103"/>
      <c r="AG206" s="103"/>
      <c r="AH206" s="103"/>
      <c r="AI206" s="103"/>
      <c r="AJ206" s="103">
        <v>302</v>
      </c>
      <c r="AK206" s="103"/>
      <c r="AL206" s="103"/>
      <c r="AM206" s="103"/>
      <c r="AN206" s="103">
        <v>334</v>
      </c>
      <c r="AO206" s="103"/>
      <c r="AP206" s="103">
        <v>472</v>
      </c>
      <c r="AQ206" s="103">
        <v>346</v>
      </c>
      <c r="AR206" s="103">
        <v>497</v>
      </c>
      <c r="AS206" s="103"/>
      <c r="AT206" s="103"/>
      <c r="AU206" s="103"/>
      <c r="AV206" s="103"/>
      <c r="AW206" s="104" t="str">
        <f>HYPERLINK("http://www.openstreetmap.org/?mlat=33.6372&amp;mlon=42.8216&amp;zoom=12#map=12/33.6372/42.8216","Maplink1")</f>
        <v>Maplink1</v>
      </c>
      <c r="AX206" s="104" t="str">
        <f>HYPERLINK("https://www.google.iq/maps/search/+33.6372,42.8216/@33.6372,42.8216,14z?hl=en","Maplink2")</f>
        <v>Maplink2</v>
      </c>
      <c r="AY206" s="104" t="str">
        <f>HYPERLINK("http://www.bing.com/maps/?lvl=14&amp;sty=h&amp;cp=33.6372~42.8216&amp;sp=point.33.6372_42.8216","Maplink3")</f>
        <v>Maplink3</v>
      </c>
    </row>
    <row r="207" spans="1:51" x14ac:dyDescent="0.2">
      <c r="A207" s="102">
        <v>41</v>
      </c>
      <c r="B207" s="103" t="s">
        <v>29</v>
      </c>
      <c r="C207" s="103" t="s">
        <v>82</v>
      </c>
      <c r="D207" s="103" t="s">
        <v>513</v>
      </c>
      <c r="E207" s="103" t="s">
        <v>514</v>
      </c>
      <c r="F207" s="103">
        <v>33.912429527199997</v>
      </c>
      <c r="G207" s="103">
        <v>42.546821655099997</v>
      </c>
      <c r="H207" s="102">
        <v>296</v>
      </c>
      <c r="I207" s="102">
        <v>1776</v>
      </c>
      <c r="J207" s="103"/>
      <c r="K207" s="103"/>
      <c r="L207" s="103"/>
      <c r="M207" s="103">
        <v>296</v>
      </c>
      <c r="N207" s="103"/>
      <c r="O207" s="103"/>
      <c r="P207" s="103"/>
      <c r="Q207" s="103"/>
      <c r="R207" s="103"/>
      <c r="S207" s="103"/>
      <c r="T207" s="103"/>
      <c r="U207" s="103">
        <v>6</v>
      </c>
      <c r="V207" s="103"/>
      <c r="W207" s="103">
        <v>142</v>
      </c>
      <c r="X207" s="103"/>
      <c r="Y207" s="103">
        <v>2</v>
      </c>
      <c r="Z207" s="103"/>
      <c r="AA207" s="103">
        <v>73</v>
      </c>
      <c r="AB207" s="103"/>
      <c r="AC207" s="103">
        <v>14</v>
      </c>
      <c r="AD207" s="103"/>
      <c r="AE207" s="103"/>
      <c r="AF207" s="103"/>
      <c r="AG207" s="103"/>
      <c r="AH207" s="103"/>
      <c r="AI207" s="103"/>
      <c r="AJ207" s="103">
        <v>59</v>
      </c>
      <c r="AK207" s="103"/>
      <c r="AL207" s="103"/>
      <c r="AM207" s="103"/>
      <c r="AN207" s="103"/>
      <c r="AO207" s="103"/>
      <c r="AP207" s="103">
        <v>217</v>
      </c>
      <c r="AQ207" s="103">
        <v>79</v>
      </c>
      <c r="AR207" s="103"/>
      <c r="AS207" s="103"/>
      <c r="AT207" s="103"/>
      <c r="AU207" s="103"/>
      <c r="AV207" s="103"/>
      <c r="AW207" s="104" t="str">
        <f>HYPERLINK("http://www.openstreetmap.org/?mlat=33.9124&amp;mlon=42.5468&amp;zoom=12#map=12/33.9124/42.5468","Maplink1")</f>
        <v>Maplink1</v>
      </c>
      <c r="AX207" s="104" t="str">
        <f>HYPERLINK("https://www.google.iq/maps/search/+33.9124,42.5468/@33.9124,42.5468,14z?hl=en","Maplink2")</f>
        <v>Maplink2</v>
      </c>
      <c r="AY207" s="104" t="str">
        <f>HYPERLINK("http://www.bing.com/maps/?lvl=14&amp;sty=h&amp;cp=33.9124~42.5468&amp;sp=point.33.9124_42.5468","Maplink3")</f>
        <v>Maplink3</v>
      </c>
    </row>
    <row r="208" spans="1:51" x14ac:dyDescent="0.2">
      <c r="A208" s="102">
        <v>33953</v>
      </c>
      <c r="B208" s="103" t="s">
        <v>29</v>
      </c>
      <c r="C208" s="103" t="s">
        <v>82</v>
      </c>
      <c r="D208" s="103" t="s">
        <v>515</v>
      </c>
      <c r="E208" s="103" t="s">
        <v>516</v>
      </c>
      <c r="F208" s="103">
        <v>33.543089999999999</v>
      </c>
      <c r="G208" s="103">
        <v>42.955440000000003</v>
      </c>
      <c r="H208" s="102">
        <v>703</v>
      </c>
      <c r="I208" s="102">
        <v>4218</v>
      </c>
      <c r="J208" s="103"/>
      <c r="K208" s="103"/>
      <c r="L208" s="103"/>
      <c r="M208" s="103">
        <v>703</v>
      </c>
      <c r="N208" s="103"/>
      <c r="O208" s="103"/>
      <c r="P208" s="103"/>
      <c r="Q208" s="103"/>
      <c r="R208" s="103"/>
      <c r="S208" s="103"/>
      <c r="T208" s="103"/>
      <c r="U208" s="103"/>
      <c r="V208" s="103"/>
      <c r="W208" s="103">
        <v>60</v>
      </c>
      <c r="X208" s="103"/>
      <c r="Y208" s="103"/>
      <c r="Z208" s="103"/>
      <c r="AA208" s="103">
        <v>250</v>
      </c>
      <c r="AB208" s="103"/>
      <c r="AC208" s="103">
        <v>190</v>
      </c>
      <c r="AD208" s="103"/>
      <c r="AE208" s="103"/>
      <c r="AF208" s="103"/>
      <c r="AG208" s="103"/>
      <c r="AH208" s="103"/>
      <c r="AI208" s="103"/>
      <c r="AJ208" s="103">
        <v>203</v>
      </c>
      <c r="AK208" s="103"/>
      <c r="AL208" s="103"/>
      <c r="AM208" s="103"/>
      <c r="AN208" s="103">
        <v>301</v>
      </c>
      <c r="AO208" s="103"/>
      <c r="AP208" s="103">
        <v>200</v>
      </c>
      <c r="AQ208" s="103">
        <v>202</v>
      </c>
      <c r="AR208" s="103"/>
      <c r="AS208" s="103"/>
      <c r="AT208" s="103"/>
      <c r="AU208" s="103"/>
      <c r="AV208" s="103"/>
      <c r="AW208" s="104" t="str">
        <f>HYPERLINK("http://www.openstreetmap.org/?mlat=33.5431&amp;mlon=42.9554&amp;zoom=12#map=12/33.5431/42.9554","Maplink1")</f>
        <v>Maplink1</v>
      </c>
      <c r="AX208" s="104" t="str">
        <f>HYPERLINK("https://www.google.iq/maps/search/+33.5431,42.9554/@33.5431,42.9554,14z?hl=en","Maplink2")</f>
        <v>Maplink2</v>
      </c>
      <c r="AY208" s="104" t="str">
        <f>HYPERLINK("http://www.bing.com/maps/?lvl=14&amp;sty=h&amp;cp=33.5431~42.9554&amp;sp=point.33.5431_42.9554","Maplink3")</f>
        <v>Maplink3</v>
      </c>
    </row>
    <row r="209" spans="1:51" x14ac:dyDescent="0.2">
      <c r="A209" s="102">
        <v>33959</v>
      </c>
      <c r="B209" s="103" t="s">
        <v>29</v>
      </c>
      <c r="C209" s="103" t="s">
        <v>82</v>
      </c>
      <c r="D209" s="103" t="s">
        <v>517</v>
      </c>
      <c r="E209" s="103" t="s">
        <v>518</v>
      </c>
      <c r="F209" s="103">
        <v>33.684113000000004</v>
      </c>
      <c r="G209" s="103">
        <v>42.796689000000001</v>
      </c>
      <c r="H209" s="102">
        <v>85</v>
      </c>
      <c r="I209" s="102">
        <v>510</v>
      </c>
      <c r="J209" s="103"/>
      <c r="K209" s="103"/>
      <c r="L209" s="103"/>
      <c r="M209" s="103">
        <v>85</v>
      </c>
      <c r="N209" s="103"/>
      <c r="O209" s="103"/>
      <c r="P209" s="103"/>
      <c r="Q209" s="103"/>
      <c r="R209" s="103"/>
      <c r="S209" s="103"/>
      <c r="T209" s="103"/>
      <c r="U209" s="103">
        <v>61</v>
      </c>
      <c r="V209" s="103"/>
      <c r="W209" s="103">
        <v>23</v>
      </c>
      <c r="X209" s="103"/>
      <c r="Y209" s="103"/>
      <c r="Z209" s="103"/>
      <c r="AA209" s="103">
        <v>1</v>
      </c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>
        <v>57</v>
      </c>
      <c r="AQ209" s="103"/>
      <c r="AR209" s="103"/>
      <c r="AS209" s="103"/>
      <c r="AT209" s="103">
        <v>28</v>
      </c>
      <c r="AU209" s="103"/>
      <c r="AV209" s="103"/>
      <c r="AW209" s="104" t="str">
        <f>HYPERLINK("http://www.openstreetmap.org/?mlat=33.6841&amp;mlon=42.7967&amp;zoom=12#map=12/33.6841/42.7967","Maplink1")</f>
        <v>Maplink1</v>
      </c>
      <c r="AX209" s="104" t="str">
        <f>HYPERLINK("https://www.google.iq/maps/search/+33.6841,42.7967/@33.6841,42.7967,14z?hl=en","Maplink2")</f>
        <v>Maplink2</v>
      </c>
      <c r="AY209" s="104" t="str">
        <f>HYPERLINK("http://www.bing.com/maps/?lvl=14&amp;sty=h&amp;cp=33.6841~42.7967&amp;sp=point.33.6841_42.7967","Maplink3")</f>
        <v>Maplink3</v>
      </c>
    </row>
    <row r="210" spans="1:51" x14ac:dyDescent="0.2">
      <c r="A210" s="102">
        <v>24113</v>
      </c>
      <c r="B210" s="103" t="s">
        <v>29</v>
      </c>
      <c r="C210" s="103" t="s">
        <v>82</v>
      </c>
      <c r="D210" s="103" t="s">
        <v>503</v>
      </c>
      <c r="E210" s="103" t="s">
        <v>504</v>
      </c>
      <c r="F210" s="103">
        <v>33.641821774199997</v>
      </c>
      <c r="G210" s="103">
        <v>42.827972923300003</v>
      </c>
      <c r="H210" s="102">
        <v>183</v>
      </c>
      <c r="I210" s="102">
        <v>1098</v>
      </c>
      <c r="J210" s="103"/>
      <c r="K210" s="103"/>
      <c r="L210" s="103"/>
      <c r="M210" s="103">
        <v>183</v>
      </c>
      <c r="N210" s="103"/>
      <c r="O210" s="103"/>
      <c r="P210" s="103"/>
      <c r="Q210" s="103"/>
      <c r="R210" s="103"/>
      <c r="S210" s="103"/>
      <c r="T210" s="103"/>
      <c r="U210" s="103">
        <v>76</v>
      </c>
      <c r="V210" s="103"/>
      <c r="W210" s="103">
        <v>55</v>
      </c>
      <c r="X210" s="103"/>
      <c r="Y210" s="103"/>
      <c r="Z210" s="103"/>
      <c r="AA210" s="103">
        <v>23</v>
      </c>
      <c r="AB210" s="103"/>
      <c r="AC210" s="103"/>
      <c r="AD210" s="103"/>
      <c r="AE210" s="103"/>
      <c r="AF210" s="103"/>
      <c r="AG210" s="103"/>
      <c r="AH210" s="103"/>
      <c r="AI210" s="103"/>
      <c r="AJ210" s="103">
        <v>29</v>
      </c>
      <c r="AK210" s="103"/>
      <c r="AL210" s="103"/>
      <c r="AM210" s="103"/>
      <c r="AN210" s="103">
        <v>19</v>
      </c>
      <c r="AO210" s="103"/>
      <c r="AP210" s="103">
        <v>77</v>
      </c>
      <c r="AQ210" s="103">
        <v>35</v>
      </c>
      <c r="AR210" s="103">
        <v>52</v>
      </c>
      <c r="AS210" s="103"/>
      <c r="AT210" s="103"/>
      <c r="AU210" s="103"/>
      <c r="AV210" s="103"/>
      <c r="AW210" s="104" t="str">
        <f>HYPERLINK("http://www.openstreetmap.org/?mlat=33.6418&amp;mlon=42.828&amp;zoom=12#map=12/33.6418/42.828","Maplink1")</f>
        <v>Maplink1</v>
      </c>
      <c r="AX210" s="104" t="str">
        <f>HYPERLINK("https://www.google.iq/maps/search/+33.6418,42.828/@33.6418,42.828,14z?hl=en","Maplink2")</f>
        <v>Maplink2</v>
      </c>
      <c r="AY210" s="104" t="str">
        <f>HYPERLINK("http://www.bing.com/maps/?lvl=14&amp;sty=h&amp;cp=33.6418~42.828&amp;sp=point.33.6418_42.828","Maplink3")</f>
        <v>Maplink3</v>
      </c>
    </row>
    <row r="211" spans="1:51" x14ac:dyDescent="0.2">
      <c r="A211" s="102">
        <v>135</v>
      </c>
      <c r="B211" s="103" t="s">
        <v>29</v>
      </c>
      <c r="C211" s="103" t="s">
        <v>82</v>
      </c>
      <c r="D211" s="103" t="s">
        <v>505</v>
      </c>
      <c r="E211" s="103" t="s">
        <v>506</v>
      </c>
      <c r="F211" s="103">
        <v>33.646688031799997</v>
      </c>
      <c r="G211" s="103">
        <v>42.841455401799998</v>
      </c>
      <c r="H211" s="102">
        <v>507</v>
      </c>
      <c r="I211" s="102">
        <v>3042</v>
      </c>
      <c r="J211" s="103"/>
      <c r="K211" s="103"/>
      <c r="L211" s="103"/>
      <c r="M211" s="103">
        <v>507</v>
      </c>
      <c r="N211" s="103"/>
      <c r="O211" s="103"/>
      <c r="P211" s="103"/>
      <c r="Q211" s="103"/>
      <c r="R211" s="103"/>
      <c r="S211" s="103"/>
      <c r="T211" s="103"/>
      <c r="U211" s="103">
        <v>211</v>
      </c>
      <c r="V211" s="103"/>
      <c r="W211" s="103">
        <v>111</v>
      </c>
      <c r="X211" s="103"/>
      <c r="Y211" s="103"/>
      <c r="Z211" s="103"/>
      <c r="AA211" s="103">
        <v>86</v>
      </c>
      <c r="AB211" s="103"/>
      <c r="AC211" s="103">
        <v>60</v>
      </c>
      <c r="AD211" s="103"/>
      <c r="AE211" s="103"/>
      <c r="AF211" s="103"/>
      <c r="AG211" s="103"/>
      <c r="AH211" s="103"/>
      <c r="AI211" s="103"/>
      <c r="AJ211" s="103">
        <v>39</v>
      </c>
      <c r="AK211" s="103"/>
      <c r="AL211" s="103"/>
      <c r="AM211" s="103"/>
      <c r="AN211" s="103">
        <v>60</v>
      </c>
      <c r="AO211" s="103"/>
      <c r="AP211" s="103">
        <v>230</v>
      </c>
      <c r="AQ211" s="103">
        <v>217</v>
      </c>
      <c r="AR211" s="103"/>
      <c r="AS211" s="103"/>
      <c r="AT211" s="103"/>
      <c r="AU211" s="103"/>
      <c r="AV211" s="103"/>
      <c r="AW211" s="104" t="str">
        <f>HYPERLINK("http://www.openstreetmap.org/?mlat=33.6467&amp;mlon=42.8415&amp;zoom=12#map=12/33.6467/42.8415","Maplink1")</f>
        <v>Maplink1</v>
      </c>
      <c r="AX211" s="104" t="str">
        <f>HYPERLINK("https://www.google.iq/maps/search/+33.6467,42.8415/@33.6467,42.8415,14z?hl=en","Maplink2")</f>
        <v>Maplink2</v>
      </c>
      <c r="AY211" s="104" t="str">
        <f>HYPERLINK("http://www.bing.com/maps/?lvl=14&amp;sty=h&amp;cp=33.6467~42.8415&amp;sp=point.33.6467_42.8415","Maplink3")</f>
        <v>Maplink3</v>
      </c>
    </row>
    <row r="212" spans="1:51" x14ac:dyDescent="0.2">
      <c r="A212" s="102">
        <v>136</v>
      </c>
      <c r="B212" s="103" t="s">
        <v>29</v>
      </c>
      <c r="C212" s="103" t="s">
        <v>82</v>
      </c>
      <c r="D212" s="103" t="s">
        <v>507</v>
      </c>
      <c r="E212" s="103" t="s">
        <v>508</v>
      </c>
      <c r="F212" s="103">
        <v>33.886378170699999</v>
      </c>
      <c r="G212" s="103">
        <v>42.524322777499997</v>
      </c>
      <c r="H212" s="102">
        <v>97</v>
      </c>
      <c r="I212" s="102">
        <v>582</v>
      </c>
      <c r="J212" s="103"/>
      <c r="K212" s="103"/>
      <c r="L212" s="103"/>
      <c r="M212" s="103">
        <v>97</v>
      </c>
      <c r="N212" s="103"/>
      <c r="O212" s="103"/>
      <c r="P212" s="103"/>
      <c r="Q212" s="103"/>
      <c r="R212" s="103"/>
      <c r="S212" s="103"/>
      <c r="T212" s="103"/>
      <c r="U212" s="103">
        <v>77</v>
      </c>
      <c r="V212" s="103"/>
      <c r="W212" s="103"/>
      <c r="X212" s="103"/>
      <c r="Y212" s="103"/>
      <c r="Z212" s="103"/>
      <c r="AA212" s="103">
        <v>7</v>
      </c>
      <c r="AB212" s="103"/>
      <c r="AC212" s="103"/>
      <c r="AD212" s="103"/>
      <c r="AE212" s="103"/>
      <c r="AF212" s="103"/>
      <c r="AG212" s="103"/>
      <c r="AH212" s="103"/>
      <c r="AI212" s="103"/>
      <c r="AJ212" s="103">
        <v>13</v>
      </c>
      <c r="AK212" s="103"/>
      <c r="AL212" s="103"/>
      <c r="AM212" s="103"/>
      <c r="AN212" s="103"/>
      <c r="AO212" s="103"/>
      <c r="AP212" s="103">
        <v>35</v>
      </c>
      <c r="AQ212" s="103">
        <v>62</v>
      </c>
      <c r="AR212" s="103"/>
      <c r="AS212" s="103"/>
      <c r="AT212" s="103"/>
      <c r="AU212" s="103"/>
      <c r="AV212" s="103"/>
      <c r="AW212" s="104" t="str">
        <f>HYPERLINK("http://www.openstreetmap.org/?mlat=33.8864&amp;mlon=42.5243&amp;zoom=12#map=12/33.8864/42.5243","Maplink1")</f>
        <v>Maplink1</v>
      </c>
      <c r="AX212" s="104" t="str">
        <f>HYPERLINK("https://www.google.iq/maps/search/+33.8864,42.5243/@33.8864,42.5243,14z?hl=en","Maplink2")</f>
        <v>Maplink2</v>
      </c>
      <c r="AY212" s="104" t="str">
        <f>HYPERLINK("http://www.bing.com/maps/?lvl=14&amp;sty=h&amp;cp=33.8864~42.5243&amp;sp=point.33.8864_42.5243","Maplink3")</f>
        <v>Maplink3</v>
      </c>
    </row>
    <row r="213" spans="1:51" x14ac:dyDescent="0.2">
      <c r="A213" s="102">
        <v>138</v>
      </c>
      <c r="B213" s="103" t="s">
        <v>29</v>
      </c>
      <c r="C213" s="103" t="s">
        <v>82</v>
      </c>
      <c r="D213" s="103" t="s">
        <v>509</v>
      </c>
      <c r="E213" s="103" t="s">
        <v>510</v>
      </c>
      <c r="F213" s="103">
        <v>33.528953460899999</v>
      </c>
      <c r="G213" s="103">
        <v>43.053506732899997</v>
      </c>
      <c r="H213" s="102">
        <v>1200</v>
      </c>
      <c r="I213" s="102">
        <v>7200</v>
      </c>
      <c r="J213" s="103"/>
      <c r="K213" s="103"/>
      <c r="L213" s="103"/>
      <c r="M213" s="103">
        <v>1200</v>
      </c>
      <c r="N213" s="103"/>
      <c r="O213" s="103"/>
      <c r="P213" s="103"/>
      <c r="Q213" s="103"/>
      <c r="R213" s="103"/>
      <c r="S213" s="103"/>
      <c r="T213" s="103"/>
      <c r="U213" s="103">
        <v>93</v>
      </c>
      <c r="V213" s="103"/>
      <c r="W213" s="103">
        <v>360</v>
      </c>
      <c r="X213" s="103"/>
      <c r="Y213" s="103"/>
      <c r="Z213" s="103"/>
      <c r="AA213" s="103">
        <v>287</v>
      </c>
      <c r="AB213" s="103"/>
      <c r="AC213" s="103">
        <v>220</v>
      </c>
      <c r="AD213" s="103"/>
      <c r="AE213" s="103"/>
      <c r="AF213" s="103"/>
      <c r="AG213" s="103"/>
      <c r="AH213" s="103"/>
      <c r="AI213" s="103"/>
      <c r="AJ213" s="103">
        <v>240</v>
      </c>
      <c r="AK213" s="103"/>
      <c r="AL213" s="103"/>
      <c r="AM213" s="103"/>
      <c r="AN213" s="103">
        <v>550</v>
      </c>
      <c r="AO213" s="103"/>
      <c r="AP213" s="103">
        <v>300</v>
      </c>
      <c r="AQ213" s="103">
        <v>350</v>
      </c>
      <c r="AR213" s="103"/>
      <c r="AS213" s="103"/>
      <c r="AT213" s="103"/>
      <c r="AU213" s="103"/>
      <c r="AV213" s="103"/>
      <c r="AW213" s="104" t="str">
        <f>HYPERLINK("http://www.openstreetmap.org/?mlat=33.529&amp;mlon=43.0535&amp;zoom=12#map=12/33.529/43.0535","Maplink1")</f>
        <v>Maplink1</v>
      </c>
      <c r="AX213" s="104" t="str">
        <f>HYPERLINK("https://www.google.iq/maps/search/+33.529,43.0535/@33.529,43.0535,14z?hl=en","Maplink2")</f>
        <v>Maplink2</v>
      </c>
      <c r="AY213" s="104" t="str">
        <f>HYPERLINK("http://www.bing.com/maps/?lvl=14&amp;sty=h&amp;cp=33.529~43.0535&amp;sp=point.33.529_43.0535","Maplink3")</f>
        <v>Maplink3</v>
      </c>
    </row>
    <row r="214" spans="1:51" x14ac:dyDescent="0.2">
      <c r="A214" s="102">
        <v>21229</v>
      </c>
      <c r="B214" s="103" t="s">
        <v>29</v>
      </c>
      <c r="C214" s="103" t="s">
        <v>82</v>
      </c>
      <c r="D214" s="103" t="s">
        <v>562</v>
      </c>
      <c r="E214" s="103" t="s">
        <v>563</v>
      </c>
      <c r="F214" s="103">
        <v>33.740926637500003</v>
      </c>
      <c r="G214" s="103">
        <v>42.718449999999997</v>
      </c>
      <c r="H214" s="102">
        <v>65</v>
      </c>
      <c r="I214" s="102">
        <v>390</v>
      </c>
      <c r="J214" s="103"/>
      <c r="K214" s="103"/>
      <c r="L214" s="103"/>
      <c r="M214" s="103">
        <v>65</v>
      </c>
      <c r="N214" s="103"/>
      <c r="O214" s="103"/>
      <c r="P214" s="103"/>
      <c r="Q214" s="103"/>
      <c r="R214" s="103"/>
      <c r="S214" s="103"/>
      <c r="T214" s="103"/>
      <c r="U214" s="103">
        <v>42</v>
      </c>
      <c r="V214" s="103"/>
      <c r="W214" s="103">
        <v>16</v>
      </c>
      <c r="X214" s="103"/>
      <c r="Y214" s="103"/>
      <c r="Z214" s="103"/>
      <c r="AA214" s="103">
        <v>7</v>
      </c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>
        <v>45</v>
      </c>
      <c r="AR214" s="103">
        <v>20</v>
      </c>
      <c r="AS214" s="103"/>
      <c r="AT214" s="103"/>
      <c r="AU214" s="103"/>
      <c r="AV214" s="103"/>
      <c r="AW214" s="104" t="str">
        <f>HYPERLINK("http://www.openstreetmap.org/?mlat=33.7409&amp;mlon=42.7184&amp;zoom=12#map=12/33.7409/42.7184","Maplink1")</f>
        <v>Maplink1</v>
      </c>
      <c r="AX214" s="104" t="str">
        <f>HYPERLINK("https://www.google.iq/maps/search/+33.7409,42.7184/@33.7409,42.7184,14z?hl=en","Maplink2")</f>
        <v>Maplink2</v>
      </c>
      <c r="AY214" s="104" t="str">
        <f>HYPERLINK("http://www.bing.com/maps/?lvl=14&amp;sty=h&amp;cp=33.7409~42.7184&amp;sp=point.33.7409_42.7184","Maplink3")</f>
        <v>Maplink3</v>
      </c>
    </row>
    <row r="215" spans="1:51" x14ac:dyDescent="0.2">
      <c r="A215" s="102">
        <v>312</v>
      </c>
      <c r="B215" s="103" t="s">
        <v>29</v>
      </c>
      <c r="C215" s="103" t="s">
        <v>82</v>
      </c>
      <c r="D215" s="103" t="s">
        <v>577</v>
      </c>
      <c r="E215" s="103" t="s">
        <v>578</v>
      </c>
      <c r="F215" s="103">
        <v>33.634155721200003</v>
      </c>
      <c r="G215" s="103">
        <v>42.826845898499997</v>
      </c>
      <c r="H215" s="102">
        <v>861</v>
      </c>
      <c r="I215" s="102">
        <v>5166</v>
      </c>
      <c r="J215" s="103"/>
      <c r="K215" s="103"/>
      <c r="L215" s="103"/>
      <c r="M215" s="103">
        <v>861</v>
      </c>
      <c r="N215" s="103"/>
      <c r="O215" s="103"/>
      <c r="P215" s="103"/>
      <c r="Q215" s="103"/>
      <c r="R215" s="103"/>
      <c r="S215" s="103"/>
      <c r="T215" s="103"/>
      <c r="U215" s="103">
        <v>161</v>
      </c>
      <c r="V215" s="103"/>
      <c r="W215" s="103">
        <v>236</v>
      </c>
      <c r="X215" s="103"/>
      <c r="Y215" s="103"/>
      <c r="Z215" s="103"/>
      <c r="AA215" s="103">
        <v>285</v>
      </c>
      <c r="AB215" s="103"/>
      <c r="AC215" s="103"/>
      <c r="AD215" s="103"/>
      <c r="AE215" s="103"/>
      <c r="AF215" s="103"/>
      <c r="AG215" s="103"/>
      <c r="AH215" s="103"/>
      <c r="AI215" s="103"/>
      <c r="AJ215" s="103">
        <v>179</v>
      </c>
      <c r="AK215" s="103"/>
      <c r="AL215" s="103"/>
      <c r="AM215" s="103"/>
      <c r="AN215" s="103">
        <v>69</v>
      </c>
      <c r="AO215" s="103"/>
      <c r="AP215" s="103">
        <v>287</v>
      </c>
      <c r="AQ215" s="103">
        <v>322</v>
      </c>
      <c r="AR215" s="103">
        <v>183</v>
      </c>
      <c r="AS215" s="103"/>
      <c r="AT215" s="103"/>
      <c r="AU215" s="103"/>
      <c r="AV215" s="103"/>
      <c r="AW215" s="104" t="str">
        <f>HYPERLINK("http://www.openstreetmap.org/?mlat=33.6342&amp;mlon=42.8268&amp;zoom=12#map=12/33.6342/42.8268","Maplink1")</f>
        <v>Maplink1</v>
      </c>
      <c r="AX215" s="104" t="str">
        <f>HYPERLINK("https://www.google.iq/maps/search/+33.6342,42.8268/@33.6342,42.8268,14z?hl=en","Maplink2")</f>
        <v>Maplink2</v>
      </c>
      <c r="AY215" s="104" t="str">
        <f>HYPERLINK("http://www.bing.com/maps/?lvl=14&amp;sty=h&amp;cp=33.6342~42.8268&amp;sp=point.33.6342_42.8268","Maplink3")</f>
        <v>Maplink3</v>
      </c>
    </row>
    <row r="216" spans="1:51" x14ac:dyDescent="0.2">
      <c r="A216" s="102">
        <v>219</v>
      </c>
      <c r="B216" s="103" t="s">
        <v>29</v>
      </c>
      <c r="C216" s="103" t="s">
        <v>82</v>
      </c>
      <c r="D216" s="103" t="s">
        <v>579</v>
      </c>
      <c r="E216" s="103" t="s">
        <v>580</v>
      </c>
      <c r="F216" s="103">
        <v>33.638928848699997</v>
      </c>
      <c r="G216" s="103">
        <v>42.8185354262</v>
      </c>
      <c r="H216" s="102">
        <v>1315</v>
      </c>
      <c r="I216" s="102">
        <v>7890</v>
      </c>
      <c r="J216" s="103"/>
      <c r="K216" s="103"/>
      <c r="L216" s="103">
        <v>40</v>
      </c>
      <c r="M216" s="103">
        <v>1275</v>
      </c>
      <c r="N216" s="103"/>
      <c r="O216" s="103"/>
      <c r="P216" s="103"/>
      <c r="Q216" s="103"/>
      <c r="R216" s="103"/>
      <c r="S216" s="103"/>
      <c r="T216" s="103"/>
      <c r="U216" s="103">
        <v>799</v>
      </c>
      <c r="V216" s="103"/>
      <c r="W216" s="103">
        <v>235</v>
      </c>
      <c r="X216" s="103"/>
      <c r="Y216" s="103"/>
      <c r="Z216" s="103"/>
      <c r="AA216" s="103">
        <v>54</v>
      </c>
      <c r="AB216" s="103"/>
      <c r="AC216" s="103">
        <v>168</v>
      </c>
      <c r="AD216" s="103"/>
      <c r="AE216" s="103"/>
      <c r="AF216" s="103"/>
      <c r="AG216" s="103"/>
      <c r="AH216" s="103"/>
      <c r="AI216" s="103"/>
      <c r="AJ216" s="103">
        <v>59</v>
      </c>
      <c r="AK216" s="103"/>
      <c r="AL216" s="103"/>
      <c r="AM216" s="103"/>
      <c r="AN216" s="103">
        <v>295</v>
      </c>
      <c r="AO216" s="103"/>
      <c r="AP216" s="103">
        <v>332</v>
      </c>
      <c r="AQ216" s="103">
        <v>221</v>
      </c>
      <c r="AR216" s="103">
        <v>467</v>
      </c>
      <c r="AS216" s="103"/>
      <c r="AT216" s="103"/>
      <c r="AU216" s="103"/>
      <c r="AV216" s="103"/>
      <c r="AW216" s="104" t="str">
        <f>HYPERLINK("http://www.openstreetmap.org/?mlat=33.6389&amp;mlon=42.8185&amp;zoom=12#map=12/33.6389/42.8185","Maplink1")</f>
        <v>Maplink1</v>
      </c>
      <c r="AX216" s="104" t="str">
        <f>HYPERLINK("https://www.google.iq/maps/search/+33.6389,42.8185/@33.6389,42.8185,14z?hl=en","Maplink2")</f>
        <v>Maplink2</v>
      </c>
      <c r="AY216" s="104" t="str">
        <f>HYPERLINK("http://www.bing.com/maps/?lvl=14&amp;sty=h&amp;cp=33.6389~42.8185&amp;sp=point.33.6389_42.8185","Maplink3")</f>
        <v>Maplink3</v>
      </c>
    </row>
    <row r="217" spans="1:51" x14ac:dyDescent="0.2">
      <c r="A217" s="102">
        <v>21231</v>
      </c>
      <c r="B217" s="103" t="s">
        <v>29</v>
      </c>
      <c r="C217" s="103" t="s">
        <v>82</v>
      </c>
      <c r="D217" s="103" t="s">
        <v>581</v>
      </c>
      <c r="E217" s="103" t="s">
        <v>582</v>
      </c>
      <c r="F217" s="103">
        <v>33.636400953600003</v>
      </c>
      <c r="G217" s="103">
        <v>42.8361484132</v>
      </c>
      <c r="H217" s="102">
        <v>694</v>
      </c>
      <c r="I217" s="102">
        <v>4164</v>
      </c>
      <c r="J217" s="103"/>
      <c r="K217" s="103"/>
      <c r="L217" s="103"/>
      <c r="M217" s="103">
        <v>694</v>
      </c>
      <c r="N217" s="103"/>
      <c r="O217" s="103"/>
      <c r="P217" s="103"/>
      <c r="Q217" s="103"/>
      <c r="R217" s="103"/>
      <c r="S217" s="103"/>
      <c r="T217" s="103"/>
      <c r="U217" s="103">
        <v>207</v>
      </c>
      <c r="V217" s="103"/>
      <c r="W217" s="103">
        <v>259</v>
      </c>
      <c r="X217" s="103"/>
      <c r="Y217" s="103"/>
      <c r="Z217" s="103"/>
      <c r="AA217" s="103">
        <v>78</v>
      </c>
      <c r="AB217" s="103"/>
      <c r="AC217" s="103">
        <v>85</v>
      </c>
      <c r="AD217" s="103"/>
      <c r="AE217" s="103"/>
      <c r="AF217" s="103"/>
      <c r="AG217" s="103"/>
      <c r="AH217" s="103"/>
      <c r="AI217" s="103"/>
      <c r="AJ217" s="103">
        <v>65</v>
      </c>
      <c r="AK217" s="103"/>
      <c r="AL217" s="103"/>
      <c r="AM217" s="103"/>
      <c r="AN217" s="103">
        <v>240</v>
      </c>
      <c r="AO217" s="103"/>
      <c r="AP217" s="103">
        <v>157</v>
      </c>
      <c r="AQ217" s="103">
        <v>181</v>
      </c>
      <c r="AR217" s="103">
        <v>116</v>
      </c>
      <c r="AS217" s="103"/>
      <c r="AT217" s="103"/>
      <c r="AU217" s="103"/>
      <c r="AV217" s="103"/>
      <c r="AW217" s="104" t="str">
        <f>HYPERLINK("http://www.openstreetmap.org/?mlat=33.6364&amp;mlon=42.8361&amp;zoom=12#map=12/33.6364/42.8361","Maplink1")</f>
        <v>Maplink1</v>
      </c>
      <c r="AX217" s="104" t="str">
        <f>HYPERLINK("https://www.google.iq/maps/search/+33.6364,42.8361/@33.6364,42.8361,14z?hl=en","Maplink2")</f>
        <v>Maplink2</v>
      </c>
      <c r="AY217" s="104" t="str">
        <f>HYPERLINK("http://www.bing.com/maps/?lvl=14&amp;sty=h&amp;cp=33.6364~42.8361&amp;sp=point.33.6364_42.8361","Maplink3")</f>
        <v>Maplink3</v>
      </c>
    </row>
    <row r="218" spans="1:51" x14ac:dyDescent="0.2">
      <c r="A218" s="102">
        <v>23826</v>
      </c>
      <c r="B218" s="103" t="s">
        <v>29</v>
      </c>
      <c r="C218" s="103" t="s">
        <v>82</v>
      </c>
      <c r="D218" s="103" t="s">
        <v>472</v>
      </c>
      <c r="E218" s="103" t="s">
        <v>473</v>
      </c>
      <c r="F218" s="103">
        <v>33.706662999999999</v>
      </c>
      <c r="G218" s="103">
        <v>42.727072</v>
      </c>
      <c r="H218" s="102">
        <v>148</v>
      </c>
      <c r="I218" s="102">
        <v>888</v>
      </c>
      <c r="J218" s="103"/>
      <c r="K218" s="103"/>
      <c r="L218" s="103"/>
      <c r="M218" s="103">
        <v>148</v>
      </c>
      <c r="N218" s="103"/>
      <c r="O218" s="103"/>
      <c r="P218" s="103"/>
      <c r="Q218" s="103"/>
      <c r="R218" s="103"/>
      <c r="S218" s="103"/>
      <c r="T218" s="103"/>
      <c r="U218" s="103">
        <v>68</v>
      </c>
      <c r="V218" s="103"/>
      <c r="W218" s="103">
        <v>31</v>
      </c>
      <c r="X218" s="103"/>
      <c r="Y218" s="103"/>
      <c r="Z218" s="103"/>
      <c r="AA218" s="103">
        <v>8</v>
      </c>
      <c r="AB218" s="103"/>
      <c r="AC218" s="103">
        <v>27</v>
      </c>
      <c r="AD218" s="103"/>
      <c r="AE218" s="103"/>
      <c r="AF218" s="103"/>
      <c r="AG218" s="103"/>
      <c r="AH218" s="103"/>
      <c r="AI218" s="103"/>
      <c r="AJ218" s="103">
        <v>14</v>
      </c>
      <c r="AK218" s="103"/>
      <c r="AL218" s="103"/>
      <c r="AM218" s="103"/>
      <c r="AN218" s="103"/>
      <c r="AO218" s="103"/>
      <c r="AP218" s="103">
        <v>71</v>
      </c>
      <c r="AQ218" s="103">
        <v>57</v>
      </c>
      <c r="AR218" s="103">
        <v>20</v>
      </c>
      <c r="AS218" s="103"/>
      <c r="AT218" s="103"/>
      <c r="AU218" s="103"/>
      <c r="AV218" s="103"/>
      <c r="AW218" s="104" t="str">
        <f>HYPERLINK("http://www.openstreetmap.org/?mlat=33.7067&amp;mlon=42.7271&amp;zoom=12#map=12/33.7067/42.7271","Maplink1")</f>
        <v>Maplink1</v>
      </c>
      <c r="AX218" s="104" t="str">
        <f>HYPERLINK("https://www.google.iq/maps/search/+33.7067,42.7271/@33.7067,42.7271,14z?hl=en","Maplink2")</f>
        <v>Maplink2</v>
      </c>
      <c r="AY218" s="104" t="str">
        <f>HYPERLINK("http://www.bing.com/maps/?lvl=14&amp;sty=h&amp;cp=33.7067~42.7271&amp;sp=point.33.7067_42.7271","Maplink3")</f>
        <v>Maplink3</v>
      </c>
    </row>
    <row r="219" spans="1:51" x14ac:dyDescent="0.2">
      <c r="A219" s="102">
        <v>34002</v>
      </c>
      <c r="B219" s="103" t="s">
        <v>29</v>
      </c>
      <c r="C219" s="103" t="s">
        <v>82</v>
      </c>
      <c r="D219" s="103" t="s">
        <v>474</v>
      </c>
      <c r="E219" s="103" t="s">
        <v>361</v>
      </c>
      <c r="F219" s="103">
        <v>33.885680000000001</v>
      </c>
      <c r="G219" s="103">
        <v>42.5227</v>
      </c>
      <c r="H219" s="102">
        <v>155</v>
      </c>
      <c r="I219" s="102">
        <v>930</v>
      </c>
      <c r="J219" s="103"/>
      <c r="K219" s="103"/>
      <c r="L219" s="103"/>
      <c r="M219" s="103">
        <v>155</v>
      </c>
      <c r="N219" s="103"/>
      <c r="O219" s="103"/>
      <c r="P219" s="103"/>
      <c r="Q219" s="103"/>
      <c r="R219" s="103"/>
      <c r="S219" s="103"/>
      <c r="T219" s="103"/>
      <c r="U219" s="103"/>
      <c r="V219" s="103"/>
      <c r="W219" s="103">
        <v>65</v>
      </c>
      <c r="X219" s="103"/>
      <c r="Y219" s="103"/>
      <c r="Z219" s="103"/>
      <c r="AA219" s="103">
        <v>90</v>
      </c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>
        <v>90</v>
      </c>
      <c r="AO219" s="103"/>
      <c r="AP219" s="103">
        <v>65</v>
      </c>
      <c r="AQ219" s="103"/>
      <c r="AR219" s="103"/>
      <c r="AS219" s="103"/>
      <c r="AT219" s="103"/>
      <c r="AU219" s="103"/>
      <c r="AV219" s="103"/>
      <c r="AW219" s="104" t="str">
        <f>HYPERLINK("http://www.openstreetmap.org/?mlat=33.8857&amp;mlon=42.5227&amp;zoom=12#map=12/33.8857/42.5227","Maplink1")</f>
        <v>Maplink1</v>
      </c>
      <c r="AX219" s="104" t="str">
        <f>HYPERLINK("https://www.google.iq/maps/search/+33.8857,42.5227/@33.8857,42.5227,14z?hl=en","Maplink2")</f>
        <v>Maplink2</v>
      </c>
      <c r="AY219" s="104" t="str">
        <f>HYPERLINK("http://www.bing.com/maps/?lvl=14&amp;sty=h&amp;cp=33.8857~42.5227&amp;sp=point.33.8857_42.5227","Maplink3")</f>
        <v>Maplink3</v>
      </c>
    </row>
    <row r="220" spans="1:51" x14ac:dyDescent="0.2">
      <c r="A220" s="102">
        <v>23834</v>
      </c>
      <c r="B220" s="103" t="s">
        <v>29</v>
      </c>
      <c r="C220" s="103" t="s">
        <v>82</v>
      </c>
      <c r="D220" s="103" t="s">
        <v>475</v>
      </c>
      <c r="E220" s="103" t="s">
        <v>476</v>
      </c>
      <c r="F220" s="103">
        <v>33.591990000000003</v>
      </c>
      <c r="G220" s="103">
        <v>42.613030000000002</v>
      </c>
      <c r="H220" s="102">
        <v>196</v>
      </c>
      <c r="I220" s="102">
        <v>1176</v>
      </c>
      <c r="J220" s="103"/>
      <c r="K220" s="103"/>
      <c r="L220" s="103"/>
      <c r="M220" s="103">
        <v>196</v>
      </c>
      <c r="N220" s="103"/>
      <c r="O220" s="103"/>
      <c r="P220" s="103"/>
      <c r="Q220" s="103"/>
      <c r="R220" s="103"/>
      <c r="S220" s="103"/>
      <c r="T220" s="103"/>
      <c r="U220" s="103">
        <v>75</v>
      </c>
      <c r="V220" s="103"/>
      <c r="W220" s="103"/>
      <c r="X220" s="103"/>
      <c r="Y220" s="103"/>
      <c r="Z220" s="103"/>
      <c r="AA220" s="103">
        <v>63</v>
      </c>
      <c r="AB220" s="103"/>
      <c r="AC220" s="103"/>
      <c r="AD220" s="103"/>
      <c r="AE220" s="103"/>
      <c r="AF220" s="103"/>
      <c r="AG220" s="103"/>
      <c r="AH220" s="103"/>
      <c r="AI220" s="103"/>
      <c r="AJ220" s="103">
        <v>58</v>
      </c>
      <c r="AK220" s="103"/>
      <c r="AL220" s="103"/>
      <c r="AM220" s="103"/>
      <c r="AN220" s="103"/>
      <c r="AO220" s="103"/>
      <c r="AP220" s="103">
        <v>116</v>
      </c>
      <c r="AQ220" s="103"/>
      <c r="AR220" s="103">
        <v>80</v>
      </c>
      <c r="AS220" s="103"/>
      <c r="AT220" s="103"/>
      <c r="AU220" s="103"/>
      <c r="AV220" s="103"/>
      <c r="AW220" s="104" t="str">
        <f>HYPERLINK("http://www.openstreetmap.org/?mlat=33.592&amp;mlon=42.613&amp;zoom=12#map=12/33.592/42.613","Maplink1")</f>
        <v>Maplink1</v>
      </c>
      <c r="AX220" s="104" t="str">
        <f>HYPERLINK("https://www.google.iq/maps/search/+33.592,42.613/@33.592,42.613,14z?hl=en","Maplink2")</f>
        <v>Maplink2</v>
      </c>
      <c r="AY220" s="104" t="str">
        <f>HYPERLINK("http://www.bing.com/maps/?lvl=14&amp;sty=h&amp;cp=33.592~42.613&amp;sp=point.33.592_42.613","Maplink3")</f>
        <v>Maplink3</v>
      </c>
    </row>
    <row r="221" spans="1:51" x14ac:dyDescent="0.2">
      <c r="A221" s="102">
        <v>23830</v>
      </c>
      <c r="B221" s="103" t="s">
        <v>29</v>
      </c>
      <c r="C221" s="103" t="s">
        <v>82</v>
      </c>
      <c r="D221" s="103" t="s">
        <v>499</v>
      </c>
      <c r="E221" s="103" t="s">
        <v>500</v>
      </c>
      <c r="F221" s="103">
        <v>33.599148205299997</v>
      </c>
      <c r="G221" s="103">
        <v>42.870474133599998</v>
      </c>
      <c r="H221" s="102">
        <v>135</v>
      </c>
      <c r="I221" s="102">
        <v>810</v>
      </c>
      <c r="J221" s="103"/>
      <c r="K221" s="103"/>
      <c r="L221" s="103"/>
      <c r="M221" s="103">
        <v>135</v>
      </c>
      <c r="N221" s="103"/>
      <c r="O221" s="103"/>
      <c r="P221" s="103"/>
      <c r="Q221" s="103"/>
      <c r="R221" s="103"/>
      <c r="S221" s="103"/>
      <c r="T221" s="103"/>
      <c r="U221" s="103">
        <v>61</v>
      </c>
      <c r="V221" s="103"/>
      <c r="W221" s="103">
        <v>60</v>
      </c>
      <c r="X221" s="103"/>
      <c r="Y221" s="103"/>
      <c r="Z221" s="103"/>
      <c r="AA221" s="103"/>
      <c r="AB221" s="103">
        <v>5</v>
      </c>
      <c r="AC221" s="103"/>
      <c r="AD221" s="103"/>
      <c r="AE221" s="103"/>
      <c r="AF221" s="103"/>
      <c r="AG221" s="103"/>
      <c r="AH221" s="103"/>
      <c r="AI221" s="103"/>
      <c r="AJ221" s="103">
        <v>9</v>
      </c>
      <c r="AK221" s="103"/>
      <c r="AL221" s="103"/>
      <c r="AM221" s="103"/>
      <c r="AN221" s="103"/>
      <c r="AO221" s="103"/>
      <c r="AP221" s="103">
        <v>61</v>
      </c>
      <c r="AQ221" s="103">
        <v>74</v>
      </c>
      <c r="AR221" s="103"/>
      <c r="AS221" s="103"/>
      <c r="AT221" s="103"/>
      <c r="AU221" s="103"/>
      <c r="AV221" s="103"/>
      <c r="AW221" s="104" t="str">
        <f>HYPERLINK("http://www.openstreetmap.org/?mlat=33.5991&amp;mlon=42.8705&amp;zoom=12#map=12/33.5991/42.8705","Maplink1")</f>
        <v>Maplink1</v>
      </c>
      <c r="AX221" s="104" t="str">
        <f>HYPERLINK("https://www.google.iq/maps/search/+33.5991,42.8705/@33.5991,42.8705,14z?hl=en","Maplink2")</f>
        <v>Maplink2</v>
      </c>
      <c r="AY221" s="104" t="str">
        <f>HYPERLINK("http://www.bing.com/maps/?lvl=14&amp;sty=h&amp;cp=33.5991~42.8705&amp;sp=point.33.5991_42.8705","Maplink3")</f>
        <v>Maplink3</v>
      </c>
    </row>
    <row r="222" spans="1:51" x14ac:dyDescent="0.2">
      <c r="A222" s="102">
        <v>33949</v>
      </c>
      <c r="B222" s="103" t="s">
        <v>29</v>
      </c>
      <c r="C222" s="103" t="s">
        <v>82</v>
      </c>
      <c r="D222" s="103" t="s">
        <v>501</v>
      </c>
      <c r="E222" s="103" t="s">
        <v>502</v>
      </c>
      <c r="F222" s="103">
        <v>33.84516</v>
      </c>
      <c r="G222" s="103">
        <v>42.574590000000001</v>
      </c>
      <c r="H222" s="102">
        <v>106</v>
      </c>
      <c r="I222" s="102">
        <v>636</v>
      </c>
      <c r="J222" s="103"/>
      <c r="K222" s="103"/>
      <c r="L222" s="103"/>
      <c r="M222" s="103">
        <v>106</v>
      </c>
      <c r="N222" s="103"/>
      <c r="O222" s="103"/>
      <c r="P222" s="103"/>
      <c r="Q222" s="103"/>
      <c r="R222" s="103"/>
      <c r="S222" s="103"/>
      <c r="T222" s="103"/>
      <c r="U222" s="103"/>
      <c r="V222" s="103"/>
      <c r="W222" s="103">
        <v>50</v>
      </c>
      <c r="X222" s="103"/>
      <c r="Y222" s="103"/>
      <c r="Z222" s="103"/>
      <c r="AA222" s="103">
        <v>35</v>
      </c>
      <c r="AB222" s="103"/>
      <c r="AC222" s="103"/>
      <c r="AD222" s="103"/>
      <c r="AE222" s="103"/>
      <c r="AF222" s="103"/>
      <c r="AG222" s="103"/>
      <c r="AH222" s="103"/>
      <c r="AI222" s="103"/>
      <c r="AJ222" s="103">
        <v>21</v>
      </c>
      <c r="AK222" s="103"/>
      <c r="AL222" s="103"/>
      <c r="AM222" s="103"/>
      <c r="AN222" s="103"/>
      <c r="AO222" s="103"/>
      <c r="AP222" s="103">
        <v>46</v>
      </c>
      <c r="AQ222" s="103">
        <v>60</v>
      </c>
      <c r="AR222" s="103"/>
      <c r="AS222" s="103"/>
      <c r="AT222" s="103"/>
      <c r="AU222" s="103"/>
      <c r="AV222" s="103"/>
      <c r="AW222" s="104" t="str">
        <f>HYPERLINK("http://www.openstreetmap.org/?mlat=33.8452&amp;mlon=42.5746&amp;zoom=12#map=12/33.8452/42.5746","Maplink1")</f>
        <v>Maplink1</v>
      </c>
      <c r="AX222" s="104" t="str">
        <f>HYPERLINK("https://www.google.iq/maps/search/+33.8452,42.5746/@33.8452,42.5746,14z?hl=en","Maplink2")</f>
        <v>Maplink2</v>
      </c>
      <c r="AY222" s="104" t="str">
        <f>HYPERLINK("http://www.bing.com/maps/?lvl=14&amp;sty=h&amp;cp=33.8452~42.5746&amp;sp=point.33.8452_42.5746","Maplink3")</f>
        <v>Maplink3</v>
      </c>
    </row>
    <row r="223" spans="1:51" x14ac:dyDescent="0.2">
      <c r="A223" s="102">
        <v>23831</v>
      </c>
      <c r="B223" s="103" t="s">
        <v>29</v>
      </c>
      <c r="C223" s="103" t="s">
        <v>82</v>
      </c>
      <c r="D223" s="103" t="s">
        <v>457</v>
      </c>
      <c r="E223" s="103" t="s">
        <v>458</v>
      </c>
      <c r="F223" s="103">
        <v>33.629583566000001</v>
      </c>
      <c r="G223" s="103">
        <v>42.819476633299999</v>
      </c>
      <c r="H223" s="102">
        <v>236</v>
      </c>
      <c r="I223" s="102">
        <v>1416</v>
      </c>
      <c r="J223" s="103"/>
      <c r="K223" s="103"/>
      <c r="L223" s="103"/>
      <c r="M223" s="103">
        <v>236</v>
      </c>
      <c r="N223" s="103"/>
      <c r="O223" s="103"/>
      <c r="P223" s="103"/>
      <c r="Q223" s="103"/>
      <c r="R223" s="103"/>
      <c r="S223" s="103"/>
      <c r="T223" s="103"/>
      <c r="U223" s="103">
        <v>97</v>
      </c>
      <c r="V223" s="103"/>
      <c r="W223" s="103">
        <v>52</v>
      </c>
      <c r="X223" s="103"/>
      <c r="Y223" s="103"/>
      <c r="Z223" s="103"/>
      <c r="AA223" s="103">
        <v>27</v>
      </c>
      <c r="AB223" s="103"/>
      <c r="AC223" s="103">
        <v>29</v>
      </c>
      <c r="AD223" s="103"/>
      <c r="AE223" s="103"/>
      <c r="AF223" s="103"/>
      <c r="AG223" s="103"/>
      <c r="AH223" s="103"/>
      <c r="AI223" s="103"/>
      <c r="AJ223" s="103">
        <v>31</v>
      </c>
      <c r="AK223" s="103"/>
      <c r="AL223" s="103"/>
      <c r="AM223" s="103">
        <v>69</v>
      </c>
      <c r="AN223" s="103">
        <v>51</v>
      </c>
      <c r="AO223" s="103"/>
      <c r="AP223" s="103">
        <v>44</v>
      </c>
      <c r="AQ223" s="103">
        <v>72</v>
      </c>
      <c r="AR223" s="103"/>
      <c r="AS223" s="103"/>
      <c r="AT223" s="103"/>
      <c r="AU223" s="103"/>
      <c r="AV223" s="103"/>
      <c r="AW223" s="104" t="str">
        <f>HYPERLINK("http://www.openstreetmap.org/?mlat=33.6296&amp;mlon=42.8195&amp;zoom=12#map=12/33.6296/42.8195","Maplink1")</f>
        <v>Maplink1</v>
      </c>
      <c r="AX223" s="104" t="str">
        <f>HYPERLINK("https://www.google.iq/maps/search/+33.6296,42.8195/@33.6296,42.8195,14z?hl=en","Maplink2")</f>
        <v>Maplink2</v>
      </c>
      <c r="AY223" s="104" t="str">
        <f>HYPERLINK("http://www.bing.com/maps/?lvl=14&amp;sty=h&amp;cp=33.6296~42.8195&amp;sp=point.33.6296_42.8195","Maplink3")</f>
        <v>Maplink3</v>
      </c>
    </row>
    <row r="224" spans="1:51" x14ac:dyDescent="0.2">
      <c r="A224" s="102">
        <v>33825</v>
      </c>
      <c r="B224" s="103" t="s">
        <v>29</v>
      </c>
      <c r="C224" s="103" t="s">
        <v>82</v>
      </c>
      <c r="D224" s="103" t="s">
        <v>459</v>
      </c>
      <c r="E224" s="103" t="s">
        <v>195</v>
      </c>
      <c r="F224" s="103">
        <v>33.626159999999999</v>
      </c>
      <c r="G224" s="103">
        <v>42.82987</v>
      </c>
      <c r="H224" s="102">
        <v>213</v>
      </c>
      <c r="I224" s="102">
        <v>1278</v>
      </c>
      <c r="J224" s="103"/>
      <c r="K224" s="103"/>
      <c r="L224" s="103"/>
      <c r="M224" s="103">
        <v>213</v>
      </c>
      <c r="N224" s="103"/>
      <c r="O224" s="103"/>
      <c r="P224" s="103"/>
      <c r="Q224" s="103"/>
      <c r="R224" s="103"/>
      <c r="S224" s="103"/>
      <c r="T224" s="103"/>
      <c r="U224" s="103">
        <v>125</v>
      </c>
      <c r="V224" s="103"/>
      <c r="W224" s="103">
        <v>23</v>
      </c>
      <c r="X224" s="103"/>
      <c r="Y224" s="103"/>
      <c r="Z224" s="103"/>
      <c r="AA224" s="103"/>
      <c r="AB224" s="103"/>
      <c r="AC224" s="103">
        <v>41</v>
      </c>
      <c r="AD224" s="103"/>
      <c r="AE224" s="103"/>
      <c r="AF224" s="103"/>
      <c r="AG224" s="103"/>
      <c r="AH224" s="103"/>
      <c r="AI224" s="103"/>
      <c r="AJ224" s="103">
        <v>24</v>
      </c>
      <c r="AK224" s="103"/>
      <c r="AL224" s="103"/>
      <c r="AM224" s="103"/>
      <c r="AN224" s="103"/>
      <c r="AO224" s="103"/>
      <c r="AP224" s="103">
        <v>157</v>
      </c>
      <c r="AQ224" s="103">
        <v>46</v>
      </c>
      <c r="AR224" s="103"/>
      <c r="AS224" s="103"/>
      <c r="AT224" s="103">
        <v>10</v>
      </c>
      <c r="AU224" s="103"/>
      <c r="AV224" s="103"/>
      <c r="AW224" s="104" t="str">
        <f>HYPERLINK("http://www.openstreetmap.org/?mlat=33.6262&amp;mlon=42.8299&amp;zoom=12#map=12/33.6262/42.8299","Maplink1")</f>
        <v>Maplink1</v>
      </c>
      <c r="AX224" s="104" t="str">
        <f>HYPERLINK("https://www.google.iq/maps/search/+33.6262,42.8299/@33.6262,42.8299,14z?hl=en","Maplink2")</f>
        <v>Maplink2</v>
      </c>
      <c r="AY224" s="104" t="str">
        <f>HYPERLINK("http://www.bing.com/maps/?lvl=14&amp;sty=h&amp;cp=33.6262~42.8299&amp;sp=point.33.6262_42.8299","Maplink3")</f>
        <v>Maplink3</v>
      </c>
    </row>
    <row r="225" spans="1:51" x14ac:dyDescent="0.2">
      <c r="A225" s="102">
        <v>23844</v>
      </c>
      <c r="B225" s="103" t="s">
        <v>29</v>
      </c>
      <c r="C225" s="103" t="s">
        <v>82</v>
      </c>
      <c r="D225" s="103" t="s">
        <v>477</v>
      </c>
      <c r="E225" s="103" t="s">
        <v>478</v>
      </c>
      <c r="F225" s="103">
        <v>33.890213382399999</v>
      </c>
      <c r="G225" s="103">
        <v>42.769421000000001</v>
      </c>
      <c r="H225" s="102">
        <v>200</v>
      </c>
      <c r="I225" s="102">
        <v>1200</v>
      </c>
      <c r="J225" s="103"/>
      <c r="K225" s="103"/>
      <c r="L225" s="103"/>
      <c r="M225" s="103">
        <v>200</v>
      </c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>
        <v>65</v>
      </c>
      <c r="AB225" s="103"/>
      <c r="AC225" s="103">
        <v>76</v>
      </c>
      <c r="AD225" s="103"/>
      <c r="AE225" s="103"/>
      <c r="AF225" s="103"/>
      <c r="AG225" s="103"/>
      <c r="AH225" s="103"/>
      <c r="AI225" s="103"/>
      <c r="AJ225" s="103">
        <v>59</v>
      </c>
      <c r="AK225" s="103"/>
      <c r="AL225" s="103"/>
      <c r="AM225" s="103"/>
      <c r="AN225" s="103"/>
      <c r="AO225" s="103"/>
      <c r="AP225" s="103">
        <v>166</v>
      </c>
      <c r="AQ225" s="103">
        <v>34</v>
      </c>
      <c r="AR225" s="103"/>
      <c r="AS225" s="103"/>
      <c r="AT225" s="103"/>
      <c r="AU225" s="103"/>
      <c r="AV225" s="103"/>
      <c r="AW225" s="104" t="str">
        <f>HYPERLINK("http://www.openstreetmap.org/?mlat=33.8902&amp;mlon=42.7694&amp;zoom=12#map=12/33.8902/42.7694","Maplink1")</f>
        <v>Maplink1</v>
      </c>
      <c r="AX225" s="104" t="str">
        <f>HYPERLINK("https://www.google.iq/maps/search/+33.8902,42.7694/@33.8902,42.7694,14z?hl=en","Maplink2")</f>
        <v>Maplink2</v>
      </c>
      <c r="AY225" s="104" t="str">
        <f>HYPERLINK("http://www.bing.com/maps/?lvl=14&amp;sty=h&amp;cp=33.8902~42.7694&amp;sp=point.33.8902_42.7694","Maplink3")</f>
        <v>Maplink3</v>
      </c>
    </row>
    <row r="226" spans="1:51" x14ac:dyDescent="0.2">
      <c r="A226" s="102">
        <v>21322</v>
      </c>
      <c r="B226" s="103" t="s">
        <v>29</v>
      </c>
      <c r="C226" s="103" t="s">
        <v>82</v>
      </c>
      <c r="D226" s="103" t="s">
        <v>479</v>
      </c>
      <c r="E226" s="103" t="s">
        <v>480</v>
      </c>
      <c r="F226" s="103">
        <v>33.890081927700002</v>
      </c>
      <c r="G226" s="103">
        <v>42.6211613137</v>
      </c>
      <c r="H226" s="102">
        <v>329</v>
      </c>
      <c r="I226" s="102">
        <v>1974</v>
      </c>
      <c r="J226" s="103"/>
      <c r="K226" s="103"/>
      <c r="L226" s="103"/>
      <c r="M226" s="103">
        <v>329</v>
      </c>
      <c r="N226" s="103"/>
      <c r="O226" s="103"/>
      <c r="P226" s="103"/>
      <c r="Q226" s="103"/>
      <c r="R226" s="103"/>
      <c r="S226" s="103"/>
      <c r="T226" s="103"/>
      <c r="U226" s="103">
        <v>55</v>
      </c>
      <c r="V226" s="103"/>
      <c r="W226" s="103">
        <v>60</v>
      </c>
      <c r="X226" s="103"/>
      <c r="Y226" s="103"/>
      <c r="Z226" s="103"/>
      <c r="AA226" s="103">
        <v>85</v>
      </c>
      <c r="AB226" s="103"/>
      <c r="AC226" s="103">
        <v>56</v>
      </c>
      <c r="AD226" s="103"/>
      <c r="AE226" s="103"/>
      <c r="AF226" s="103"/>
      <c r="AG226" s="103"/>
      <c r="AH226" s="103"/>
      <c r="AI226" s="103"/>
      <c r="AJ226" s="103">
        <v>73</v>
      </c>
      <c r="AK226" s="103"/>
      <c r="AL226" s="103"/>
      <c r="AM226" s="103"/>
      <c r="AN226" s="103"/>
      <c r="AO226" s="103"/>
      <c r="AP226" s="103">
        <v>94</v>
      </c>
      <c r="AQ226" s="103">
        <v>124</v>
      </c>
      <c r="AR226" s="103">
        <v>111</v>
      </c>
      <c r="AS226" s="103"/>
      <c r="AT226" s="103"/>
      <c r="AU226" s="103"/>
      <c r="AV226" s="103"/>
      <c r="AW226" s="104" t="str">
        <f>HYPERLINK("http://www.openstreetmap.org/?mlat=33.8901&amp;mlon=42.6212&amp;zoom=12#map=12/33.8901/42.6212","Maplink1")</f>
        <v>Maplink1</v>
      </c>
      <c r="AX226" s="104" t="str">
        <f>HYPERLINK("https://www.google.iq/maps/search/+33.8901,42.6212/@33.8901,42.6212,14z?hl=en","Maplink2")</f>
        <v>Maplink2</v>
      </c>
      <c r="AY226" s="104" t="str">
        <f>HYPERLINK("http://www.bing.com/maps/?lvl=14&amp;sty=h&amp;cp=33.8901~42.6212&amp;sp=point.33.8901_42.6212","Maplink3")</f>
        <v>Maplink3</v>
      </c>
    </row>
    <row r="227" spans="1:51" x14ac:dyDescent="0.2">
      <c r="A227" s="102">
        <v>33951</v>
      </c>
      <c r="B227" s="103" t="s">
        <v>29</v>
      </c>
      <c r="C227" s="103" t="s">
        <v>82</v>
      </c>
      <c r="D227" s="103" t="s">
        <v>481</v>
      </c>
      <c r="E227" s="103" t="s">
        <v>482</v>
      </c>
      <c r="F227" s="103">
        <v>33.881410000000002</v>
      </c>
      <c r="G227" s="103">
        <v>42.541170000000001</v>
      </c>
      <c r="H227" s="102">
        <v>177</v>
      </c>
      <c r="I227" s="102">
        <v>1062</v>
      </c>
      <c r="J227" s="103"/>
      <c r="K227" s="103"/>
      <c r="L227" s="103"/>
      <c r="M227" s="103">
        <v>177</v>
      </c>
      <c r="N227" s="103"/>
      <c r="O227" s="103"/>
      <c r="P227" s="103"/>
      <c r="Q227" s="103"/>
      <c r="R227" s="103"/>
      <c r="S227" s="103"/>
      <c r="T227" s="103"/>
      <c r="U227" s="103"/>
      <c r="V227" s="103"/>
      <c r="W227" s="103">
        <v>65</v>
      </c>
      <c r="X227" s="103"/>
      <c r="Y227" s="103"/>
      <c r="Z227" s="103"/>
      <c r="AA227" s="103">
        <v>12</v>
      </c>
      <c r="AB227" s="103"/>
      <c r="AC227" s="103">
        <v>67</v>
      </c>
      <c r="AD227" s="103"/>
      <c r="AE227" s="103"/>
      <c r="AF227" s="103"/>
      <c r="AG227" s="103"/>
      <c r="AH227" s="103"/>
      <c r="AI227" s="103"/>
      <c r="AJ227" s="103">
        <v>33</v>
      </c>
      <c r="AK227" s="103"/>
      <c r="AL227" s="103"/>
      <c r="AM227" s="103"/>
      <c r="AN227" s="103">
        <v>89</v>
      </c>
      <c r="AO227" s="103"/>
      <c r="AP227" s="103">
        <v>88</v>
      </c>
      <c r="AQ227" s="103"/>
      <c r="AR227" s="103"/>
      <c r="AS227" s="103"/>
      <c r="AT227" s="103"/>
      <c r="AU227" s="103"/>
      <c r="AV227" s="103"/>
      <c r="AW227" s="104" t="str">
        <f>HYPERLINK("http://www.openstreetmap.org/?mlat=33.8814&amp;mlon=42.5412&amp;zoom=12#map=12/33.8814/42.5412","Maplink1")</f>
        <v>Maplink1</v>
      </c>
      <c r="AX227" s="104" t="str">
        <f>HYPERLINK("https://www.google.iq/maps/search/+33.8814,42.5412/@33.8814,42.5412,14z?hl=en","Maplink2")</f>
        <v>Maplink2</v>
      </c>
      <c r="AY227" s="104" t="str">
        <f>HYPERLINK("http://www.bing.com/maps/?lvl=14&amp;sty=h&amp;cp=33.8814~42.5412&amp;sp=point.33.8814_42.5412","Maplink3")</f>
        <v>Maplink3</v>
      </c>
    </row>
    <row r="228" spans="1:51" x14ac:dyDescent="0.2">
      <c r="A228" s="102">
        <v>229</v>
      </c>
      <c r="B228" s="103" t="s">
        <v>29</v>
      </c>
      <c r="C228" s="103" t="s">
        <v>82</v>
      </c>
      <c r="D228" s="103" t="s">
        <v>483</v>
      </c>
      <c r="E228" s="103" t="s">
        <v>484</v>
      </c>
      <c r="F228" s="103">
        <v>33.694443999999997</v>
      </c>
      <c r="G228" s="103">
        <v>42.776667000000003</v>
      </c>
      <c r="H228" s="102">
        <v>211</v>
      </c>
      <c r="I228" s="102">
        <v>1266</v>
      </c>
      <c r="J228" s="103"/>
      <c r="K228" s="103"/>
      <c r="L228" s="103"/>
      <c r="M228" s="103">
        <v>211</v>
      </c>
      <c r="N228" s="103"/>
      <c r="O228" s="103"/>
      <c r="P228" s="103"/>
      <c r="Q228" s="103"/>
      <c r="R228" s="103"/>
      <c r="S228" s="103"/>
      <c r="T228" s="103"/>
      <c r="U228" s="103">
        <v>125</v>
      </c>
      <c r="V228" s="103"/>
      <c r="W228" s="103">
        <v>21</v>
      </c>
      <c r="X228" s="103"/>
      <c r="Y228" s="103"/>
      <c r="Z228" s="103"/>
      <c r="AA228" s="103"/>
      <c r="AB228" s="103"/>
      <c r="AC228" s="103">
        <v>41</v>
      </c>
      <c r="AD228" s="103"/>
      <c r="AE228" s="103"/>
      <c r="AF228" s="103"/>
      <c r="AG228" s="103"/>
      <c r="AH228" s="103"/>
      <c r="AI228" s="103"/>
      <c r="AJ228" s="103">
        <v>24</v>
      </c>
      <c r="AK228" s="103"/>
      <c r="AL228" s="103"/>
      <c r="AM228" s="103"/>
      <c r="AN228" s="103"/>
      <c r="AO228" s="103"/>
      <c r="AP228" s="103">
        <v>157</v>
      </c>
      <c r="AQ228" s="103">
        <v>44</v>
      </c>
      <c r="AR228" s="103"/>
      <c r="AS228" s="103"/>
      <c r="AT228" s="103">
        <v>10</v>
      </c>
      <c r="AU228" s="103"/>
      <c r="AV228" s="103"/>
      <c r="AW228" s="104" t="str">
        <f>HYPERLINK("http://www.openstreetmap.org/?mlat=33.6944&amp;mlon=42.7767&amp;zoom=12#map=12/33.6944/42.7767","Maplink1")</f>
        <v>Maplink1</v>
      </c>
      <c r="AX228" s="104" t="str">
        <f>HYPERLINK("https://www.google.iq/maps/search/+33.6944,42.7767/@33.6944,42.7767,14z?hl=en","Maplink2")</f>
        <v>Maplink2</v>
      </c>
      <c r="AY228" s="104" t="str">
        <f>HYPERLINK("http://www.bing.com/maps/?lvl=14&amp;sty=h&amp;cp=33.6944~42.7767&amp;sp=point.33.6944_42.7767","Maplink3")</f>
        <v>Maplink3</v>
      </c>
    </row>
    <row r="229" spans="1:51" x14ac:dyDescent="0.2">
      <c r="A229" s="102">
        <v>23840</v>
      </c>
      <c r="B229" s="103" t="s">
        <v>29</v>
      </c>
      <c r="C229" s="103" t="s">
        <v>82</v>
      </c>
      <c r="D229" s="103" t="s">
        <v>462</v>
      </c>
      <c r="E229" s="103" t="s">
        <v>463</v>
      </c>
      <c r="F229" s="103">
        <v>33.818211394000002</v>
      </c>
      <c r="G229" s="103">
        <v>42.7138286717</v>
      </c>
      <c r="H229" s="102">
        <v>120</v>
      </c>
      <c r="I229" s="102">
        <v>720</v>
      </c>
      <c r="J229" s="103"/>
      <c r="K229" s="103"/>
      <c r="L229" s="103"/>
      <c r="M229" s="103">
        <v>120</v>
      </c>
      <c r="N229" s="103"/>
      <c r="O229" s="103"/>
      <c r="P229" s="103"/>
      <c r="Q229" s="103"/>
      <c r="R229" s="103"/>
      <c r="S229" s="103"/>
      <c r="T229" s="103"/>
      <c r="U229" s="103">
        <v>39</v>
      </c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>
        <v>81</v>
      </c>
      <c r="AK229" s="103"/>
      <c r="AL229" s="103"/>
      <c r="AM229" s="103"/>
      <c r="AN229" s="103">
        <v>21</v>
      </c>
      <c r="AO229" s="103"/>
      <c r="AP229" s="103">
        <v>26</v>
      </c>
      <c r="AQ229" s="103">
        <v>73</v>
      </c>
      <c r="AR229" s="103"/>
      <c r="AS229" s="103"/>
      <c r="AT229" s="103"/>
      <c r="AU229" s="103"/>
      <c r="AV229" s="103"/>
      <c r="AW229" s="104" t="str">
        <f>HYPERLINK("http://www.openstreetmap.org/?mlat=33.8182&amp;mlon=42.7138&amp;zoom=12#map=12/33.8182/42.7138","Maplink1")</f>
        <v>Maplink1</v>
      </c>
      <c r="AX229" s="104" t="str">
        <f>HYPERLINK("https://www.google.iq/maps/search/+33.8182,42.7138/@33.8182,42.7138,14z?hl=en","Maplink2")</f>
        <v>Maplink2</v>
      </c>
      <c r="AY229" s="104" t="str">
        <f>HYPERLINK("http://www.bing.com/maps/?lvl=14&amp;sty=h&amp;cp=33.8182~42.7138&amp;sp=point.33.8182_42.7138","Maplink3")</f>
        <v>Maplink3</v>
      </c>
    </row>
    <row r="230" spans="1:51" x14ac:dyDescent="0.2">
      <c r="A230" s="102">
        <v>33950</v>
      </c>
      <c r="B230" s="103" t="s">
        <v>29</v>
      </c>
      <c r="C230" s="103" t="s">
        <v>82</v>
      </c>
      <c r="D230" s="103" t="s">
        <v>464</v>
      </c>
      <c r="E230" s="103" t="s">
        <v>465</v>
      </c>
      <c r="F230" s="103">
        <v>33.770820000000001</v>
      </c>
      <c r="G230" s="103">
        <v>42.727670000000003</v>
      </c>
      <c r="H230" s="102">
        <v>125</v>
      </c>
      <c r="I230" s="102">
        <v>750</v>
      </c>
      <c r="J230" s="103"/>
      <c r="K230" s="103"/>
      <c r="L230" s="103"/>
      <c r="M230" s="103">
        <v>125</v>
      </c>
      <c r="N230" s="103"/>
      <c r="O230" s="103"/>
      <c r="P230" s="103"/>
      <c r="Q230" s="103"/>
      <c r="R230" s="103"/>
      <c r="S230" s="103"/>
      <c r="T230" s="103"/>
      <c r="U230" s="103"/>
      <c r="V230" s="103"/>
      <c r="W230" s="103">
        <v>25</v>
      </c>
      <c r="X230" s="103"/>
      <c r="Y230" s="103"/>
      <c r="Z230" s="103"/>
      <c r="AA230" s="103">
        <v>46</v>
      </c>
      <c r="AB230" s="103"/>
      <c r="AC230" s="103">
        <v>54</v>
      </c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>
        <v>35</v>
      </c>
      <c r="AO230" s="103"/>
      <c r="AP230" s="103"/>
      <c r="AQ230" s="103">
        <v>90</v>
      </c>
      <c r="AR230" s="103"/>
      <c r="AS230" s="103"/>
      <c r="AT230" s="103"/>
      <c r="AU230" s="103"/>
      <c r="AV230" s="103"/>
      <c r="AW230" s="104" t="str">
        <f>HYPERLINK("http://www.openstreetmap.org/?mlat=33.7708&amp;mlon=42.7277&amp;zoom=12#map=12/33.7708/42.7277","Maplink1")</f>
        <v>Maplink1</v>
      </c>
      <c r="AX230" s="104" t="str">
        <f>HYPERLINK("https://www.google.iq/maps/search/+33.7708,42.7277/@33.7708,42.7277,14z?hl=en","Maplink2")</f>
        <v>Maplink2</v>
      </c>
      <c r="AY230" s="104" t="str">
        <f>HYPERLINK("http://www.bing.com/maps/?lvl=14&amp;sty=h&amp;cp=33.7708~42.7277&amp;sp=point.33.7708_42.7277","Maplink3")</f>
        <v>Maplink3</v>
      </c>
    </row>
    <row r="231" spans="1:51" x14ac:dyDescent="0.2">
      <c r="A231" s="102">
        <v>191</v>
      </c>
      <c r="B231" s="103" t="s">
        <v>29</v>
      </c>
      <c r="C231" s="103" t="s">
        <v>82</v>
      </c>
      <c r="D231" s="103" t="s">
        <v>546</v>
      </c>
      <c r="E231" s="103" t="s">
        <v>547</v>
      </c>
      <c r="F231" s="103">
        <v>33.644794433199998</v>
      </c>
      <c r="G231" s="103">
        <v>42.8151881446</v>
      </c>
      <c r="H231" s="102">
        <v>918</v>
      </c>
      <c r="I231" s="102">
        <v>5508</v>
      </c>
      <c r="J231" s="103"/>
      <c r="K231" s="103"/>
      <c r="L231" s="103"/>
      <c r="M231" s="103">
        <v>918</v>
      </c>
      <c r="N231" s="103"/>
      <c r="O231" s="103"/>
      <c r="P231" s="103"/>
      <c r="Q231" s="103"/>
      <c r="R231" s="103"/>
      <c r="S231" s="103"/>
      <c r="T231" s="103"/>
      <c r="U231" s="103">
        <v>373</v>
      </c>
      <c r="V231" s="103"/>
      <c r="W231" s="103">
        <v>78</v>
      </c>
      <c r="X231" s="103"/>
      <c r="Y231" s="103"/>
      <c r="Z231" s="103"/>
      <c r="AA231" s="103">
        <v>264</v>
      </c>
      <c r="AB231" s="103"/>
      <c r="AC231" s="103">
        <v>96</v>
      </c>
      <c r="AD231" s="103"/>
      <c r="AE231" s="103"/>
      <c r="AF231" s="103"/>
      <c r="AG231" s="103"/>
      <c r="AH231" s="103"/>
      <c r="AI231" s="103"/>
      <c r="AJ231" s="103">
        <v>107</v>
      </c>
      <c r="AK231" s="103"/>
      <c r="AL231" s="103"/>
      <c r="AM231" s="103">
        <v>59</v>
      </c>
      <c r="AN231" s="103">
        <v>110</v>
      </c>
      <c r="AO231" s="103"/>
      <c r="AP231" s="103">
        <v>336</v>
      </c>
      <c r="AQ231" s="103">
        <v>320</v>
      </c>
      <c r="AR231" s="103">
        <v>93</v>
      </c>
      <c r="AS231" s="103"/>
      <c r="AT231" s="103"/>
      <c r="AU231" s="103"/>
      <c r="AV231" s="103"/>
      <c r="AW231" s="104" t="str">
        <f>HYPERLINK("http://www.openstreetmap.org/?mlat=33.6448&amp;mlon=42.8152&amp;zoom=12#map=12/33.6448/42.8152","Maplink1")</f>
        <v>Maplink1</v>
      </c>
      <c r="AX231" s="104" t="str">
        <f>HYPERLINK("https://www.google.iq/maps/search/+33.6448,42.8152/@33.6448,42.8152,14z?hl=en","Maplink2")</f>
        <v>Maplink2</v>
      </c>
      <c r="AY231" s="104" t="str">
        <f>HYPERLINK("http://www.bing.com/maps/?lvl=14&amp;sty=h&amp;cp=33.6448~42.8152&amp;sp=point.33.6448_42.8152","Maplink3")</f>
        <v>Maplink3</v>
      </c>
    </row>
    <row r="232" spans="1:51" x14ac:dyDescent="0.2">
      <c r="A232" s="102">
        <v>21408</v>
      </c>
      <c r="B232" s="103" t="s">
        <v>29</v>
      </c>
      <c r="C232" s="103" t="s">
        <v>82</v>
      </c>
      <c r="D232" s="103" t="s">
        <v>544</v>
      </c>
      <c r="E232" s="103" t="s">
        <v>545</v>
      </c>
      <c r="F232" s="103">
        <v>33.876631698499999</v>
      </c>
      <c r="G232" s="103">
        <v>42.528437543499997</v>
      </c>
      <c r="H232" s="102">
        <v>259</v>
      </c>
      <c r="I232" s="102">
        <v>1554</v>
      </c>
      <c r="J232" s="103"/>
      <c r="K232" s="103"/>
      <c r="L232" s="103"/>
      <c r="M232" s="103">
        <v>259</v>
      </c>
      <c r="N232" s="103"/>
      <c r="O232" s="103"/>
      <c r="P232" s="103"/>
      <c r="Q232" s="103"/>
      <c r="R232" s="103"/>
      <c r="S232" s="103"/>
      <c r="T232" s="103"/>
      <c r="U232" s="103"/>
      <c r="V232" s="103"/>
      <c r="W232" s="103">
        <v>117</v>
      </c>
      <c r="X232" s="103"/>
      <c r="Y232" s="103"/>
      <c r="Z232" s="103"/>
      <c r="AA232" s="103">
        <v>68</v>
      </c>
      <c r="AB232" s="103"/>
      <c r="AC232" s="103"/>
      <c r="AD232" s="103"/>
      <c r="AE232" s="103"/>
      <c r="AF232" s="103"/>
      <c r="AG232" s="103"/>
      <c r="AH232" s="103"/>
      <c r="AI232" s="103"/>
      <c r="AJ232" s="103">
        <v>74</v>
      </c>
      <c r="AK232" s="103"/>
      <c r="AL232" s="103"/>
      <c r="AM232" s="103"/>
      <c r="AN232" s="103">
        <v>76</v>
      </c>
      <c r="AO232" s="103"/>
      <c r="AP232" s="103">
        <v>101</v>
      </c>
      <c r="AQ232" s="103">
        <v>82</v>
      </c>
      <c r="AR232" s="103"/>
      <c r="AS232" s="103"/>
      <c r="AT232" s="103"/>
      <c r="AU232" s="103"/>
      <c r="AV232" s="103"/>
      <c r="AW232" s="104" t="str">
        <f>HYPERLINK("http://www.openstreetmap.org/?mlat=33.8766&amp;mlon=42.5284&amp;zoom=12#map=12/33.8766/42.5284","Maplink1")</f>
        <v>Maplink1</v>
      </c>
      <c r="AX232" s="104" t="str">
        <f>HYPERLINK("https://www.google.iq/maps/search/+33.8766,42.5284/@33.8766,42.5284,14z?hl=en","Maplink2")</f>
        <v>Maplink2</v>
      </c>
      <c r="AY232" s="104" t="str">
        <f>HYPERLINK("http://www.bing.com/maps/?lvl=14&amp;sty=h&amp;cp=33.8766~42.5284&amp;sp=point.33.8766_42.5284","Maplink3")</f>
        <v>Maplink3</v>
      </c>
    </row>
    <row r="233" spans="1:51" x14ac:dyDescent="0.2">
      <c r="A233" s="102">
        <v>23885</v>
      </c>
      <c r="B233" s="103" t="s">
        <v>29</v>
      </c>
      <c r="C233" s="103" t="s">
        <v>82</v>
      </c>
      <c r="D233" s="103" t="s">
        <v>522</v>
      </c>
      <c r="E233" s="103" t="s">
        <v>523</v>
      </c>
      <c r="F233" s="103">
        <v>33.628213771600002</v>
      </c>
      <c r="G233" s="103">
        <v>42.847299806400002</v>
      </c>
      <c r="H233" s="102">
        <v>774</v>
      </c>
      <c r="I233" s="102">
        <v>4644</v>
      </c>
      <c r="J233" s="103"/>
      <c r="K233" s="103"/>
      <c r="L233" s="103"/>
      <c r="M233" s="103">
        <v>774</v>
      </c>
      <c r="N233" s="103"/>
      <c r="O233" s="103"/>
      <c r="P233" s="103"/>
      <c r="Q233" s="103"/>
      <c r="R233" s="103"/>
      <c r="S233" s="103"/>
      <c r="T233" s="103"/>
      <c r="U233" s="103">
        <v>251</v>
      </c>
      <c r="V233" s="103"/>
      <c r="W233" s="103">
        <v>256</v>
      </c>
      <c r="X233" s="103"/>
      <c r="Y233" s="103"/>
      <c r="Z233" s="103"/>
      <c r="AA233" s="103">
        <v>118</v>
      </c>
      <c r="AB233" s="103"/>
      <c r="AC233" s="103">
        <v>63</v>
      </c>
      <c r="AD233" s="103"/>
      <c r="AE233" s="103"/>
      <c r="AF233" s="103"/>
      <c r="AG233" s="103"/>
      <c r="AH233" s="103"/>
      <c r="AI233" s="103"/>
      <c r="AJ233" s="103">
        <v>86</v>
      </c>
      <c r="AK233" s="103"/>
      <c r="AL233" s="103"/>
      <c r="AM233" s="103"/>
      <c r="AN233" s="103">
        <v>304</v>
      </c>
      <c r="AO233" s="103"/>
      <c r="AP233" s="103">
        <v>281</v>
      </c>
      <c r="AQ233" s="103">
        <v>157</v>
      </c>
      <c r="AR233" s="103">
        <v>32</v>
      </c>
      <c r="AS233" s="103"/>
      <c r="AT233" s="103"/>
      <c r="AU233" s="103"/>
      <c r="AV233" s="103"/>
      <c r="AW233" s="104" t="str">
        <f>HYPERLINK("http://www.openstreetmap.org/?mlat=33.6282&amp;mlon=42.8473&amp;zoom=12#map=12/33.6282/42.8473","Maplink1")</f>
        <v>Maplink1</v>
      </c>
      <c r="AX233" s="104" t="str">
        <f>HYPERLINK("https://www.google.iq/maps/search/+33.6282,42.8473/@33.6282,42.8473,14z?hl=en","Maplink2")</f>
        <v>Maplink2</v>
      </c>
      <c r="AY233" s="104" t="str">
        <f>HYPERLINK("http://www.bing.com/maps/?lvl=14&amp;sty=h&amp;cp=33.6282~42.8473&amp;sp=point.33.6282_42.8473","Maplink3")</f>
        <v>Maplink3</v>
      </c>
    </row>
    <row r="234" spans="1:51" x14ac:dyDescent="0.2">
      <c r="A234" s="102">
        <v>23827</v>
      </c>
      <c r="B234" s="103" t="s">
        <v>29</v>
      </c>
      <c r="C234" s="103" t="s">
        <v>82</v>
      </c>
      <c r="D234" s="103" t="s">
        <v>460</v>
      </c>
      <c r="E234" s="103" t="s">
        <v>461</v>
      </c>
      <c r="F234" s="103">
        <v>33.642898913400003</v>
      </c>
      <c r="G234" s="103">
        <v>42.826552264599997</v>
      </c>
      <c r="H234" s="102">
        <v>688</v>
      </c>
      <c r="I234" s="102">
        <v>4128</v>
      </c>
      <c r="J234" s="103"/>
      <c r="K234" s="103"/>
      <c r="L234" s="103"/>
      <c r="M234" s="103">
        <v>688</v>
      </c>
      <c r="N234" s="103"/>
      <c r="O234" s="103"/>
      <c r="P234" s="103"/>
      <c r="Q234" s="103"/>
      <c r="R234" s="103"/>
      <c r="S234" s="103"/>
      <c r="T234" s="103"/>
      <c r="U234" s="103">
        <v>279</v>
      </c>
      <c r="V234" s="103"/>
      <c r="W234" s="103">
        <v>140</v>
      </c>
      <c r="X234" s="103"/>
      <c r="Y234" s="103"/>
      <c r="Z234" s="103"/>
      <c r="AA234" s="103">
        <v>117</v>
      </c>
      <c r="AB234" s="103"/>
      <c r="AC234" s="103">
        <v>64</v>
      </c>
      <c r="AD234" s="103"/>
      <c r="AE234" s="103"/>
      <c r="AF234" s="103"/>
      <c r="AG234" s="103"/>
      <c r="AH234" s="103"/>
      <c r="AI234" s="103"/>
      <c r="AJ234" s="103">
        <v>88</v>
      </c>
      <c r="AK234" s="103"/>
      <c r="AL234" s="103"/>
      <c r="AM234" s="103"/>
      <c r="AN234" s="103">
        <v>75</v>
      </c>
      <c r="AO234" s="103"/>
      <c r="AP234" s="103">
        <v>174</v>
      </c>
      <c r="AQ234" s="103">
        <v>231</v>
      </c>
      <c r="AR234" s="103">
        <v>208</v>
      </c>
      <c r="AS234" s="103"/>
      <c r="AT234" s="103"/>
      <c r="AU234" s="103"/>
      <c r="AV234" s="103"/>
      <c r="AW234" s="104" t="str">
        <f>HYPERLINK("http://www.openstreetmap.org/?mlat=33.6429&amp;mlon=42.8266&amp;zoom=12#map=12/33.6429/42.8266","Maplink1")</f>
        <v>Maplink1</v>
      </c>
      <c r="AX234" s="104" t="str">
        <f>HYPERLINK("https://www.google.iq/maps/search/+33.6429,42.8266/@33.6429,42.8266,14z?hl=en","Maplink2")</f>
        <v>Maplink2</v>
      </c>
      <c r="AY234" s="104" t="str">
        <f>HYPERLINK("http://www.bing.com/maps/?lvl=14&amp;sty=h&amp;cp=33.6429~42.8266&amp;sp=point.33.6429_42.8266","Maplink3")</f>
        <v>Maplink3</v>
      </c>
    </row>
    <row r="235" spans="1:51" x14ac:dyDescent="0.2">
      <c r="A235" s="102">
        <v>262</v>
      </c>
      <c r="B235" s="103" t="s">
        <v>29</v>
      </c>
      <c r="C235" s="103" t="s">
        <v>84</v>
      </c>
      <c r="D235" s="103" t="s">
        <v>586</v>
      </c>
      <c r="E235" s="103" t="s">
        <v>587</v>
      </c>
      <c r="F235" s="103">
        <v>34.466927596300003</v>
      </c>
      <c r="G235" s="103">
        <v>41.916850033000003</v>
      </c>
      <c r="H235" s="102">
        <v>254</v>
      </c>
      <c r="I235" s="102">
        <v>1524</v>
      </c>
      <c r="J235" s="103"/>
      <c r="K235" s="103"/>
      <c r="L235" s="103"/>
      <c r="M235" s="103">
        <v>252</v>
      </c>
      <c r="N235" s="103">
        <v>2</v>
      </c>
      <c r="O235" s="103"/>
      <c r="P235" s="103"/>
      <c r="Q235" s="103"/>
      <c r="R235" s="103"/>
      <c r="S235" s="103"/>
      <c r="T235" s="103"/>
      <c r="U235" s="103">
        <v>114</v>
      </c>
      <c r="V235" s="103"/>
      <c r="W235" s="103">
        <v>32</v>
      </c>
      <c r="X235" s="103"/>
      <c r="Y235" s="103"/>
      <c r="Z235" s="103"/>
      <c r="AA235" s="103">
        <v>85</v>
      </c>
      <c r="AB235" s="103"/>
      <c r="AC235" s="103"/>
      <c r="AD235" s="103"/>
      <c r="AE235" s="103"/>
      <c r="AF235" s="103"/>
      <c r="AG235" s="103"/>
      <c r="AH235" s="103"/>
      <c r="AI235" s="103"/>
      <c r="AJ235" s="103">
        <v>23</v>
      </c>
      <c r="AK235" s="103"/>
      <c r="AL235" s="103"/>
      <c r="AM235" s="103"/>
      <c r="AN235" s="103"/>
      <c r="AO235" s="103"/>
      <c r="AP235" s="103"/>
      <c r="AQ235" s="103"/>
      <c r="AR235" s="103">
        <v>75</v>
      </c>
      <c r="AS235" s="103">
        <v>28</v>
      </c>
      <c r="AT235" s="103">
        <v>151</v>
      </c>
      <c r="AU235" s="103"/>
      <c r="AV235" s="103"/>
      <c r="AW235" s="104" t="str">
        <f>HYPERLINK("http://www.openstreetmap.org/?mlat=34.4669&amp;mlon=41.9169&amp;zoom=12#map=12/34.4669/41.9169","Maplink1")</f>
        <v>Maplink1</v>
      </c>
      <c r="AX235" s="104" t="str">
        <f>HYPERLINK("https://www.google.iq/maps/search/+34.4669,41.9169/@34.4669,41.9169,14z?hl=en","Maplink2")</f>
        <v>Maplink2</v>
      </c>
      <c r="AY235" s="104" t="str">
        <f>HYPERLINK("http://www.bing.com/maps/?lvl=14&amp;sty=h&amp;cp=34.4669~41.9169&amp;sp=point.34.4669_41.9169","Maplink3")</f>
        <v>Maplink3</v>
      </c>
    </row>
    <row r="236" spans="1:51" x14ac:dyDescent="0.2">
      <c r="A236" s="102">
        <v>23640</v>
      </c>
      <c r="B236" s="103" t="s">
        <v>29</v>
      </c>
      <c r="C236" s="103" t="s">
        <v>84</v>
      </c>
      <c r="D236" s="103" t="s">
        <v>259</v>
      </c>
      <c r="E236" s="103" t="s">
        <v>583</v>
      </c>
      <c r="F236" s="103">
        <v>34.487788904699997</v>
      </c>
      <c r="G236" s="103">
        <v>41.925593544000002</v>
      </c>
      <c r="H236" s="102">
        <v>201</v>
      </c>
      <c r="I236" s="102">
        <v>1206</v>
      </c>
      <c r="J236" s="103"/>
      <c r="K236" s="103"/>
      <c r="L236" s="103"/>
      <c r="M236" s="103">
        <v>201</v>
      </c>
      <c r="N236" s="103"/>
      <c r="O236" s="103"/>
      <c r="P236" s="103"/>
      <c r="Q236" s="103"/>
      <c r="R236" s="103"/>
      <c r="S236" s="103"/>
      <c r="T236" s="103"/>
      <c r="U236" s="103">
        <v>93</v>
      </c>
      <c r="V236" s="103"/>
      <c r="W236" s="103">
        <v>74</v>
      </c>
      <c r="X236" s="103"/>
      <c r="Y236" s="103"/>
      <c r="Z236" s="103"/>
      <c r="AA236" s="103">
        <v>34</v>
      </c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>
        <v>15</v>
      </c>
      <c r="AS236" s="103">
        <v>35</v>
      </c>
      <c r="AT236" s="103">
        <v>151</v>
      </c>
      <c r="AU236" s="103"/>
      <c r="AV236" s="103"/>
      <c r="AW236" s="104" t="str">
        <f>HYPERLINK("http://www.openstreetmap.org/?mlat=34.4878&amp;mlon=41.9256&amp;zoom=12#map=12/34.4878/41.9256","Maplink1")</f>
        <v>Maplink1</v>
      </c>
      <c r="AX236" s="104" t="str">
        <f>HYPERLINK("https://www.google.iq/maps/search/+34.4878,41.9256/@34.4878,41.9256,14z?hl=en","Maplink2")</f>
        <v>Maplink2</v>
      </c>
      <c r="AY236" s="104" t="str">
        <f>HYPERLINK("http://www.bing.com/maps/?lvl=14&amp;sty=h&amp;cp=34.4878~41.9256&amp;sp=point.34.4878_41.9256","Maplink3")</f>
        <v>Maplink3</v>
      </c>
    </row>
    <row r="237" spans="1:51" x14ac:dyDescent="0.2">
      <c r="A237" s="102">
        <v>33777</v>
      </c>
      <c r="B237" s="103" t="s">
        <v>29</v>
      </c>
      <c r="C237" s="103" t="s">
        <v>84</v>
      </c>
      <c r="D237" s="103" t="s">
        <v>588</v>
      </c>
      <c r="E237" s="103" t="s">
        <v>589</v>
      </c>
      <c r="F237" s="103">
        <v>34.483396999999997</v>
      </c>
      <c r="G237" s="103">
        <v>41.904772000000001</v>
      </c>
      <c r="H237" s="102">
        <v>53</v>
      </c>
      <c r="I237" s="102">
        <v>318</v>
      </c>
      <c r="J237" s="103"/>
      <c r="K237" s="103"/>
      <c r="L237" s="103"/>
      <c r="M237" s="103">
        <v>53</v>
      </c>
      <c r="N237" s="103"/>
      <c r="O237" s="103"/>
      <c r="P237" s="103"/>
      <c r="Q237" s="103"/>
      <c r="R237" s="103"/>
      <c r="S237" s="103"/>
      <c r="T237" s="103"/>
      <c r="U237" s="103">
        <v>52</v>
      </c>
      <c r="V237" s="103"/>
      <c r="W237" s="103">
        <v>1</v>
      </c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>
        <v>14</v>
      </c>
      <c r="AT237" s="103">
        <v>39</v>
      </c>
      <c r="AU237" s="103"/>
      <c r="AV237" s="103"/>
      <c r="AW237" s="104" t="str">
        <f>HYPERLINK("http://www.openstreetmap.org/?mlat=34.4834&amp;mlon=41.9048&amp;zoom=12#map=12/34.4834/41.9048","Maplink1")</f>
        <v>Maplink1</v>
      </c>
      <c r="AX237" s="104" t="str">
        <f>HYPERLINK("https://www.google.iq/maps/search/+34.4834,41.9048/@34.4834,41.9048,14z?hl=en","Maplink2")</f>
        <v>Maplink2</v>
      </c>
      <c r="AY237" s="104" t="str">
        <f>HYPERLINK("http://www.bing.com/maps/?lvl=14&amp;sty=h&amp;cp=34.4834~41.9048&amp;sp=point.34.4834_41.9048","Maplink3")</f>
        <v>Maplink3</v>
      </c>
    </row>
    <row r="238" spans="1:51" x14ac:dyDescent="0.2">
      <c r="A238" s="102">
        <v>23860</v>
      </c>
      <c r="B238" s="103" t="s">
        <v>29</v>
      </c>
      <c r="C238" s="103" t="s">
        <v>84</v>
      </c>
      <c r="D238" s="103" t="s">
        <v>156</v>
      </c>
      <c r="E238" s="103" t="s">
        <v>157</v>
      </c>
      <c r="F238" s="103">
        <v>34.487615457899999</v>
      </c>
      <c r="G238" s="103">
        <v>41.919976898100003</v>
      </c>
      <c r="H238" s="102">
        <v>274</v>
      </c>
      <c r="I238" s="102">
        <v>1644</v>
      </c>
      <c r="J238" s="103"/>
      <c r="K238" s="103"/>
      <c r="L238" s="103"/>
      <c r="M238" s="103">
        <v>274</v>
      </c>
      <c r="N238" s="103"/>
      <c r="O238" s="103"/>
      <c r="P238" s="103"/>
      <c r="Q238" s="103"/>
      <c r="R238" s="103"/>
      <c r="S238" s="103"/>
      <c r="T238" s="103"/>
      <c r="U238" s="103">
        <v>101</v>
      </c>
      <c r="V238" s="103"/>
      <c r="W238" s="103">
        <v>74</v>
      </c>
      <c r="X238" s="103"/>
      <c r="Y238" s="103"/>
      <c r="Z238" s="103"/>
      <c r="AA238" s="103">
        <v>45</v>
      </c>
      <c r="AB238" s="103">
        <v>17</v>
      </c>
      <c r="AC238" s="103">
        <v>1</v>
      </c>
      <c r="AD238" s="103"/>
      <c r="AE238" s="103"/>
      <c r="AF238" s="103"/>
      <c r="AG238" s="103"/>
      <c r="AH238" s="103"/>
      <c r="AI238" s="103"/>
      <c r="AJ238" s="103">
        <v>36</v>
      </c>
      <c r="AK238" s="103"/>
      <c r="AL238" s="103"/>
      <c r="AM238" s="103"/>
      <c r="AN238" s="103"/>
      <c r="AO238" s="103"/>
      <c r="AP238" s="103">
        <v>17</v>
      </c>
      <c r="AQ238" s="103"/>
      <c r="AR238" s="103">
        <v>13</v>
      </c>
      <c r="AS238" s="103">
        <v>116</v>
      </c>
      <c r="AT238" s="103">
        <v>128</v>
      </c>
      <c r="AU238" s="103"/>
      <c r="AV238" s="103"/>
      <c r="AW238" s="104" t="str">
        <f>HYPERLINK("http://www.openstreetmap.org/?mlat=34.4876&amp;mlon=41.92&amp;zoom=12#map=12/34.4876/41.92","Maplink1")</f>
        <v>Maplink1</v>
      </c>
      <c r="AX238" s="104" t="str">
        <f>HYPERLINK("https://www.google.iq/maps/search/+34.4876,41.92/@34.4876,41.92,14z?hl=en","Maplink2")</f>
        <v>Maplink2</v>
      </c>
      <c r="AY238" s="104" t="str">
        <f>HYPERLINK("http://www.bing.com/maps/?lvl=14&amp;sty=h&amp;cp=34.4876~41.92&amp;sp=point.34.4876_41.92","Maplink3")</f>
        <v>Maplink3</v>
      </c>
    </row>
    <row r="239" spans="1:51" x14ac:dyDescent="0.2">
      <c r="A239" s="102">
        <v>264</v>
      </c>
      <c r="B239" s="103" t="s">
        <v>29</v>
      </c>
      <c r="C239" s="103" t="s">
        <v>84</v>
      </c>
      <c r="D239" s="103" t="s">
        <v>584</v>
      </c>
      <c r="E239" s="103" t="s">
        <v>585</v>
      </c>
      <c r="F239" s="103">
        <v>34.464619426299997</v>
      </c>
      <c r="G239" s="103">
        <v>41.914579254400003</v>
      </c>
      <c r="H239" s="102">
        <v>288</v>
      </c>
      <c r="I239" s="102">
        <v>1728</v>
      </c>
      <c r="J239" s="103"/>
      <c r="K239" s="103"/>
      <c r="L239" s="103"/>
      <c r="M239" s="103">
        <v>285</v>
      </c>
      <c r="N239" s="103">
        <v>3</v>
      </c>
      <c r="O239" s="103"/>
      <c r="P239" s="103"/>
      <c r="Q239" s="103"/>
      <c r="R239" s="103"/>
      <c r="S239" s="103"/>
      <c r="T239" s="103"/>
      <c r="U239" s="103">
        <v>158</v>
      </c>
      <c r="V239" s="103"/>
      <c r="W239" s="103">
        <v>42</v>
      </c>
      <c r="X239" s="103"/>
      <c r="Y239" s="103"/>
      <c r="Z239" s="103"/>
      <c r="AA239" s="103">
        <v>50</v>
      </c>
      <c r="AB239" s="103"/>
      <c r="AC239" s="103"/>
      <c r="AD239" s="103"/>
      <c r="AE239" s="103"/>
      <c r="AF239" s="103"/>
      <c r="AG239" s="103"/>
      <c r="AH239" s="103"/>
      <c r="AI239" s="103"/>
      <c r="AJ239" s="103">
        <v>38</v>
      </c>
      <c r="AK239" s="103"/>
      <c r="AL239" s="103"/>
      <c r="AM239" s="103"/>
      <c r="AN239" s="103"/>
      <c r="AO239" s="103"/>
      <c r="AP239" s="103"/>
      <c r="AQ239" s="103"/>
      <c r="AR239" s="103">
        <v>50</v>
      </c>
      <c r="AS239" s="103">
        <v>83</v>
      </c>
      <c r="AT239" s="103">
        <v>155</v>
      </c>
      <c r="AU239" s="103"/>
      <c r="AV239" s="103"/>
      <c r="AW239" s="104" t="str">
        <f>HYPERLINK("http://www.openstreetmap.org/?mlat=34.4646&amp;mlon=41.9146&amp;zoom=12#map=12/34.4646/41.9146","Maplink1")</f>
        <v>Maplink1</v>
      </c>
      <c r="AX239" s="104" t="str">
        <f>HYPERLINK("https://www.google.iq/maps/search/+34.4646,41.9146/@34.4646,41.9146,14z?hl=en","Maplink2")</f>
        <v>Maplink2</v>
      </c>
      <c r="AY239" s="104" t="str">
        <f>HYPERLINK("http://www.bing.com/maps/?lvl=14&amp;sty=h&amp;cp=34.4646~41.9146&amp;sp=point.34.4646_41.9146","Maplink3")</f>
        <v>Maplink3</v>
      </c>
    </row>
    <row r="240" spans="1:51" x14ac:dyDescent="0.2">
      <c r="A240" s="102">
        <v>23861</v>
      </c>
      <c r="B240" s="103" t="s">
        <v>29</v>
      </c>
      <c r="C240" s="103" t="s">
        <v>84</v>
      </c>
      <c r="D240" s="103" t="s">
        <v>590</v>
      </c>
      <c r="E240" s="103" t="s">
        <v>591</v>
      </c>
      <c r="F240" s="103">
        <v>34.475465651199997</v>
      </c>
      <c r="G240" s="103">
        <v>41.913463451399998</v>
      </c>
      <c r="H240" s="102">
        <v>237</v>
      </c>
      <c r="I240" s="102">
        <v>1422</v>
      </c>
      <c r="J240" s="103"/>
      <c r="K240" s="103"/>
      <c r="L240" s="103">
        <v>13</v>
      </c>
      <c r="M240" s="103">
        <v>224</v>
      </c>
      <c r="N240" s="103"/>
      <c r="O240" s="103"/>
      <c r="P240" s="103"/>
      <c r="Q240" s="103"/>
      <c r="R240" s="103"/>
      <c r="S240" s="103"/>
      <c r="T240" s="103"/>
      <c r="U240" s="103">
        <v>105</v>
      </c>
      <c r="V240" s="103"/>
      <c r="W240" s="103">
        <v>21</v>
      </c>
      <c r="X240" s="103"/>
      <c r="Y240" s="103"/>
      <c r="Z240" s="103"/>
      <c r="AA240" s="103">
        <v>38</v>
      </c>
      <c r="AB240" s="103"/>
      <c r="AC240" s="103">
        <v>13</v>
      </c>
      <c r="AD240" s="103"/>
      <c r="AE240" s="103"/>
      <c r="AF240" s="103"/>
      <c r="AG240" s="103"/>
      <c r="AH240" s="103"/>
      <c r="AI240" s="103"/>
      <c r="AJ240" s="103">
        <v>60</v>
      </c>
      <c r="AK240" s="103"/>
      <c r="AL240" s="103"/>
      <c r="AM240" s="103"/>
      <c r="AN240" s="103">
        <v>13</v>
      </c>
      <c r="AO240" s="103"/>
      <c r="AP240" s="103"/>
      <c r="AQ240" s="103"/>
      <c r="AR240" s="103">
        <v>47</v>
      </c>
      <c r="AS240" s="103">
        <v>83</v>
      </c>
      <c r="AT240" s="103">
        <v>94</v>
      </c>
      <c r="AU240" s="103"/>
      <c r="AV240" s="103"/>
      <c r="AW240" s="104" t="str">
        <f>HYPERLINK("http://www.openstreetmap.org/?mlat=34.4755&amp;mlon=41.9135&amp;zoom=12#map=12/34.4755/41.9135","Maplink1")</f>
        <v>Maplink1</v>
      </c>
      <c r="AX240" s="104" t="str">
        <f>HYPERLINK("https://www.google.iq/maps/search/+34.4755,41.9135/@34.4755,41.9135,14z?hl=en","Maplink2")</f>
        <v>Maplink2</v>
      </c>
      <c r="AY240" s="104" t="str">
        <f>HYPERLINK("http://www.bing.com/maps/?lvl=14&amp;sty=h&amp;cp=34.4755~41.9135&amp;sp=point.34.4755_41.9135","Maplink3")</f>
        <v>Maplink3</v>
      </c>
    </row>
    <row r="241" spans="1:51" x14ac:dyDescent="0.2">
      <c r="A241" s="102">
        <v>265</v>
      </c>
      <c r="B241" s="103" t="s">
        <v>29</v>
      </c>
      <c r="C241" s="103" t="s">
        <v>84</v>
      </c>
      <c r="D241" s="103" t="s">
        <v>592</v>
      </c>
      <c r="E241" s="103" t="s">
        <v>593</v>
      </c>
      <c r="F241" s="103">
        <v>34.4707714993</v>
      </c>
      <c r="G241" s="103">
        <v>41.920303755500001</v>
      </c>
      <c r="H241" s="102">
        <v>254</v>
      </c>
      <c r="I241" s="102">
        <v>1524</v>
      </c>
      <c r="J241" s="103"/>
      <c r="K241" s="103"/>
      <c r="L241" s="103"/>
      <c r="M241" s="103">
        <v>238</v>
      </c>
      <c r="N241" s="103">
        <v>16</v>
      </c>
      <c r="O241" s="103"/>
      <c r="P241" s="103"/>
      <c r="Q241" s="103"/>
      <c r="R241" s="103"/>
      <c r="S241" s="103"/>
      <c r="T241" s="103"/>
      <c r="U241" s="103">
        <v>113</v>
      </c>
      <c r="V241" s="103"/>
      <c r="W241" s="103">
        <v>41</v>
      </c>
      <c r="X241" s="103"/>
      <c r="Y241" s="103"/>
      <c r="Z241" s="103"/>
      <c r="AA241" s="103">
        <v>48</v>
      </c>
      <c r="AB241" s="103"/>
      <c r="AC241" s="103"/>
      <c r="AD241" s="103"/>
      <c r="AE241" s="103"/>
      <c r="AF241" s="103"/>
      <c r="AG241" s="103"/>
      <c r="AH241" s="103"/>
      <c r="AI241" s="103"/>
      <c r="AJ241" s="103">
        <v>52</v>
      </c>
      <c r="AK241" s="103"/>
      <c r="AL241" s="103"/>
      <c r="AM241" s="103"/>
      <c r="AN241" s="103"/>
      <c r="AO241" s="103"/>
      <c r="AP241" s="103">
        <v>30</v>
      </c>
      <c r="AQ241" s="103"/>
      <c r="AR241" s="103">
        <v>27</v>
      </c>
      <c r="AS241" s="103">
        <v>55</v>
      </c>
      <c r="AT241" s="103">
        <v>142</v>
      </c>
      <c r="AU241" s="103"/>
      <c r="AV241" s="103"/>
      <c r="AW241" s="104" t="str">
        <f>HYPERLINK("http://www.openstreetmap.org/?mlat=34.4708&amp;mlon=41.9203&amp;zoom=12#map=12/34.4708/41.9203","Maplink1")</f>
        <v>Maplink1</v>
      </c>
      <c r="AX241" s="104" t="str">
        <f>HYPERLINK("https://www.google.iq/maps/search/+34.4708,41.9203/@34.4708,41.9203,14z?hl=en","Maplink2")</f>
        <v>Maplink2</v>
      </c>
      <c r="AY241" s="104" t="str">
        <f>HYPERLINK("http://www.bing.com/maps/?lvl=14&amp;sty=h&amp;cp=34.4708~41.9203&amp;sp=point.34.4708_41.9203","Maplink3")</f>
        <v>Maplink3</v>
      </c>
    </row>
    <row r="242" spans="1:51" x14ac:dyDescent="0.2">
      <c r="A242" s="102">
        <v>23859</v>
      </c>
      <c r="B242" s="103" t="s">
        <v>29</v>
      </c>
      <c r="C242" s="103" t="s">
        <v>84</v>
      </c>
      <c r="D242" s="103" t="s">
        <v>594</v>
      </c>
      <c r="E242" s="103" t="s">
        <v>595</v>
      </c>
      <c r="F242" s="103">
        <v>34.484049738000003</v>
      </c>
      <c r="G242" s="103">
        <v>41.923611284300002</v>
      </c>
      <c r="H242" s="102">
        <v>420</v>
      </c>
      <c r="I242" s="102">
        <v>2520</v>
      </c>
      <c r="J242" s="103"/>
      <c r="K242" s="103"/>
      <c r="L242" s="103">
        <v>21</v>
      </c>
      <c r="M242" s="103">
        <v>384</v>
      </c>
      <c r="N242" s="103">
        <v>15</v>
      </c>
      <c r="O242" s="103"/>
      <c r="P242" s="103"/>
      <c r="Q242" s="103"/>
      <c r="R242" s="103"/>
      <c r="S242" s="103"/>
      <c r="T242" s="103"/>
      <c r="U242" s="103">
        <v>218</v>
      </c>
      <c r="V242" s="103"/>
      <c r="W242" s="103">
        <v>62</v>
      </c>
      <c r="X242" s="103"/>
      <c r="Y242" s="103"/>
      <c r="Z242" s="103"/>
      <c r="AA242" s="103">
        <v>101</v>
      </c>
      <c r="AB242" s="103"/>
      <c r="AC242" s="103"/>
      <c r="AD242" s="103"/>
      <c r="AE242" s="103"/>
      <c r="AF242" s="103"/>
      <c r="AG242" s="103"/>
      <c r="AH242" s="103"/>
      <c r="AI242" s="103"/>
      <c r="AJ242" s="103">
        <v>39</v>
      </c>
      <c r="AK242" s="103"/>
      <c r="AL242" s="103"/>
      <c r="AM242" s="103"/>
      <c r="AN242" s="103">
        <v>41</v>
      </c>
      <c r="AO242" s="103"/>
      <c r="AP242" s="103"/>
      <c r="AQ242" s="103"/>
      <c r="AR242" s="103">
        <v>99</v>
      </c>
      <c r="AS242" s="103">
        <v>106</v>
      </c>
      <c r="AT242" s="103">
        <v>174</v>
      </c>
      <c r="AU242" s="103"/>
      <c r="AV242" s="103"/>
      <c r="AW242" s="104" t="str">
        <f>HYPERLINK("http://www.openstreetmap.org/?mlat=34.484&amp;mlon=41.9236&amp;zoom=12#map=12/34.484/41.9236","Maplink1")</f>
        <v>Maplink1</v>
      </c>
      <c r="AX242" s="104" t="str">
        <f>HYPERLINK("https://www.google.iq/maps/search/+34.484,41.9236/@34.484,41.9236,14z?hl=en","Maplink2")</f>
        <v>Maplink2</v>
      </c>
      <c r="AY242" s="104" t="str">
        <f>HYPERLINK("http://www.bing.com/maps/?lvl=14&amp;sty=h&amp;cp=34.484~41.9236&amp;sp=point.34.484_41.9236","Maplink3")</f>
        <v>Maplink3</v>
      </c>
    </row>
    <row r="243" spans="1:51" x14ac:dyDescent="0.2">
      <c r="A243" s="102">
        <v>267</v>
      </c>
      <c r="B243" s="103" t="s">
        <v>29</v>
      </c>
      <c r="C243" s="103" t="s">
        <v>84</v>
      </c>
      <c r="D243" s="103" t="s">
        <v>265</v>
      </c>
      <c r="E243" s="103" t="s">
        <v>266</v>
      </c>
      <c r="F243" s="103">
        <v>34.487081119199999</v>
      </c>
      <c r="G243" s="103">
        <v>41.908332439200002</v>
      </c>
      <c r="H243" s="102">
        <v>356</v>
      </c>
      <c r="I243" s="102">
        <v>2136</v>
      </c>
      <c r="J243" s="103"/>
      <c r="K243" s="103"/>
      <c r="L243" s="103"/>
      <c r="M243" s="103">
        <v>356</v>
      </c>
      <c r="N243" s="103"/>
      <c r="O243" s="103"/>
      <c r="P243" s="103"/>
      <c r="Q243" s="103"/>
      <c r="R243" s="103"/>
      <c r="S243" s="103"/>
      <c r="T243" s="103"/>
      <c r="U243" s="103">
        <v>166</v>
      </c>
      <c r="V243" s="103"/>
      <c r="W243" s="103">
        <v>73</v>
      </c>
      <c r="X243" s="103"/>
      <c r="Y243" s="103"/>
      <c r="Z243" s="103"/>
      <c r="AA243" s="103">
        <v>34</v>
      </c>
      <c r="AB243" s="103">
        <v>6</v>
      </c>
      <c r="AC243" s="103">
        <v>29</v>
      </c>
      <c r="AD243" s="103"/>
      <c r="AE243" s="103"/>
      <c r="AF243" s="103"/>
      <c r="AG243" s="103"/>
      <c r="AH243" s="103"/>
      <c r="AI243" s="103"/>
      <c r="AJ243" s="103">
        <v>48</v>
      </c>
      <c r="AK243" s="103"/>
      <c r="AL243" s="103"/>
      <c r="AM243" s="103"/>
      <c r="AN243" s="103"/>
      <c r="AO243" s="103"/>
      <c r="AP243" s="103">
        <v>29</v>
      </c>
      <c r="AQ243" s="103"/>
      <c r="AR243" s="103">
        <v>94</v>
      </c>
      <c r="AS243" s="103">
        <v>91</v>
      </c>
      <c r="AT243" s="103">
        <v>142</v>
      </c>
      <c r="AU243" s="103"/>
      <c r="AV243" s="103"/>
      <c r="AW243" s="104" t="str">
        <f>HYPERLINK("http://www.openstreetmap.org/?mlat=34.4871&amp;mlon=41.9083&amp;zoom=12#map=12/34.4871/41.9083","Maplink1")</f>
        <v>Maplink1</v>
      </c>
      <c r="AX243" s="104" t="str">
        <f>HYPERLINK("https://www.google.iq/maps/search/+34.4871,41.9083/@34.4871,41.9083,14z?hl=en","Maplink2")</f>
        <v>Maplink2</v>
      </c>
      <c r="AY243" s="104" t="str">
        <f>HYPERLINK("http://www.bing.com/maps/?lvl=14&amp;sty=h&amp;cp=34.4871~41.9083&amp;sp=point.34.4871_41.9083","Maplink3")</f>
        <v>Maplink3</v>
      </c>
    </row>
    <row r="244" spans="1:51" x14ac:dyDescent="0.2">
      <c r="A244" s="102">
        <v>200</v>
      </c>
      <c r="B244" s="103" t="s">
        <v>29</v>
      </c>
      <c r="C244" s="103" t="s">
        <v>84</v>
      </c>
      <c r="D244" s="103" t="s">
        <v>238</v>
      </c>
      <c r="E244" s="103" t="s">
        <v>195</v>
      </c>
      <c r="F244" s="103">
        <v>34.484087335200002</v>
      </c>
      <c r="G244" s="103">
        <v>41.917094475900001</v>
      </c>
      <c r="H244" s="102">
        <v>217</v>
      </c>
      <c r="I244" s="102">
        <v>1302</v>
      </c>
      <c r="J244" s="103"/>
      <c r="K244" s="103"/>
      <c r="L244" s="103">
        <v>17</v>
      </c>
      <c r="M244" s="103">
        <v>190</v>
      </c>
      <c r="N244" s="103">
        <v>10</v>
      </c>
      <c r="O244" s="103"/>
      <c r="P244" s="103"/>
      <c r="Q244" s="103"/>
      <c r="R244" s="103"/>
      <c r="S244" s="103"/>
      <c r="T244" s="103"/>
      <c r="U244" s="103">
        <v>116</v>
      </c>
      <c r="V244" s="103"/>
      <c r="W244" s="103">
        <v>46</v>
      </c>
      <c r="X244" s="103"/>
      <c r="Y244" s="103"/>
      <c r="Z244" s="103"/>
      <c r="AA244" s="103">
        <v>38</v>
      </c>
      <c r="AB244" s="103"/>
      <c r="AC244" s="103"/>
      <c r="AD244" s="103"/>
      <c r="AE244" s="103"/>
      <c r="AF244" s="103"/>
      <c r="AG244" s="103"/>
      <c r="AH244" s="103"/>
      <c r="AI244" s="103"/>
      <c r="AJ244" s="103">
        <v>17</v>
      </c>
      <c r="AK244" s="103"/>
      <c r="AL244" s="103"/>
      <c r="AM244" s="103">
        <v>25</v>
      </c>
      <c r="AN244" s="103"/>
      <c r="AO244" s="103"/>
      <c r="AP244" s="103"/>
      <c r="AQ244" s="103"/>
      <c r="AR244" s="103">
        <v>40</v>
      </c>
      <c r="AS244" s="103">
        <v>71</v>
      </c>
      <c r="AT244" s="103">
        <v>81</v>
      </c>
      <c r="AU244" s="103"/>
      <c r="AV244" s="103"/>
      <c r="AW244" s="104" t="str">
        <f>HYPERLINK("http://www.openstreetmap.org/?mlat=34.4841&amp;mlon=41.9171&amp;zoom=12#map=12/34.4841/41.9171","Maplink1")</f>
        <v>Maplink1</v>
      </c>
      <c r="AX244" s="104" t="str">
        <f>HYPERLINK("https://www.google.iq/maps/search/+34.4841,41.9171/@34.4841,41.9171,14z?hl=en","Maplink2")</f>
        <v>Maplink2</v>
      </c>
      <c r="AY244" s="104" t="str">
        <f>HYPERLINK("http://www.bing.com/maps/?lvl=14&amp;sty=h&amp;cp=34.4841~41.9171&amp;sp=point.34.4841_41.9171","Maplink3")</f>
        <v>Maplink3</v>
      </c>
    </row>
    <row r="245" spans="1:51" x14ac:dyDescent="0.2">
      <c r="A245" s="102">
        <v>24730</v>
      </c>
      <c r="B245" s="103" t="s">
        <v>29</v>
      </c>
      <c r="C245" s="103" t="s">
        <v>83</v>
      </c>
      <c r="D245" s="103" t="s">
        <v>607</v>
      </c>
      <c r="E245" s="103" t="s">
        <v>608</v>
      </c>
      <c r="F245" s="103">
        <v>33.392164879600003</v>
      </c>
      <c r="G245" s="103">
        <v>43.512206254600002</v>
      </c>
      <c r="H245" s="102">
        <v>840</v>
      </c>
      <c r="I245" s="102">
        <v>5040</v>
      </c>
      <c r="J245" s="103"/>
      <c r="K245" s="103"/>
      <c r="L245" s="103"/>
      <c r="M245" s="103">
        <v>840</v>
      </c>
      <c r="N245" s="103"/>
      <c r="O245" s="103"/>
      <c r="P245" s="103"/>
      <c r="Q245" s="103"/>
      <c r="R245" s="103"/>
      <c r="S245" s="103"/>
      <c r="T245" s="103"/>
      <c r="U245" s="103">
        <v>157</v>
      </c>
      <c r="V245" s="103"/>
      <c r="W245" s="103">
        <v>286</v>
      </c>
      <c r="X245" s="103"/>
      <c r="Y245" s="103"/>
      <c r="Z245" s="103"/>
      <c r="AA245" s="103">
        <v>200</v>
      </c>
      <c r="AB245" s="103"/>
      <c r="AC245" s="103">
        <v>197</v>
      </c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>
        <v>57</v>
      </c>
      <c r="AN245" s="103"/>
      <c r="AO245" s="103"/>
      <c r="AP245" s="103">
        <v>586</v>
      </c>
      <c r="AQ245" s="103">
        <v>97</v>
      </c>
      <c r="AR245" s="103">
        <v>100</v>
      </c>
      <c r="AS245" s="103"/>
      <c r="AT245" s="103"/>
      <c r="AU245" s="103"/>
      <c r="AV245" s="103"/>
      <c r="AW245" s="104" t="str">
        <f>HYPERLINK("http://www.openstreetmap.org/?mlat=33.3922&amp;mlon=43.5122&amp;zoom=12#map=12/33.3922/43.5122","Maplink1")</f>
        <v>Maplink1</v>
      </c>
      <c r="AX245" s="104" t="str">
        <f>HYPERLINK("https://www.google.iq/maps/search/+33.3922,43.5122/@33.3922,43.5122,14z?hl=en","Maplink2")</f>
        <v>Maplink2</v>
      </c>
      <c r="AY245" s="104" t="str">
        <f>HYPERLINK("http://www.bing.com/maps/?lvl=14&amp;sty=h&amp;cp=33.3922~43.5122&amp;sp=point.33.3922_43.5122","Maplink3")</f>
        <v>Maplink3</v>
      </c>
    </row>
    <row r="246" spans="1:51" x14ac:dyDescent="0.2">
      <c r="A246" s="102">
        <v>23857</v>
      </c>
      <c r="B246" s="103" t="s">
        <v>29</v>
      </c>
      <c r="C246" s="103" t="s">
        <v>83</v>
      </c>
      <c r="D246" s="103" t="s">
        <v>609</v>
      </c>
      <c r="E246" s="103" t="s">
        <v>610</v>
      </c>
      <c r="F246" s="103">
        <v>33.393376413399999</v>
      </c>
      <c r="G246" s="103">
        <v>43.505479412100001</v>
      </c>
      <c r="H246" s="102">
        <v>1750</v>
      </c>
      <c r="I246" s="102">
        <v>10500</v>
      </c>
      <c r="J246" s="103"/>
      <c r="K246" s="103"/>
      <c r="L246" s="103">
        <v>59</v>
      </c>
      <c r="M246" s="103">
        <v>1686</v>
      </c>
      <c r="N246" s="103">
        <v>5</v>
      </c>
      <c r="O246" s="103"/>
      <c r="P246" s="103"/>
      <c r="Q246" s="103"/>
      <c r="R246" s="103"/>
      <c r="S246" s="103"/>
      <c r="T246" s="103"/>
      <c r="U246" s="103">
        <v>1415</v>
      </c>
      <c r="V246" s="103"/>
      <c r="W246" s="103">
        <v>25</v>
      </c>
      <c r="X246" s="103"/>
      <c r="Y246" s="103"/>
      <c r="Z246" s="103"/>
      <c r="AA246" s="103">
        <v>255</v>
      </c>
      <c r="AB246" s="103"/>
      <c r="AC246" s="103">
        <v>50</v>
      </c>
      <c r="AD246" s="103"/>
      <c r="AE246" s="103"/>
      <c r="AF246" s="103"/>
      <c r="AG246" s="103"/>
      <c r="AH246" s="103"/>
      <c r="AI246" s="103"/>
      <c r="AJ246" s="103">
        <v>5</v>
      </c>
      <c r="AK246" s="103"/>
      <c r="AL246" s="103"/>
      <c r="AM246" s="103">
        <v>336</v>
      </c>
      <c r="AN246" s="103"/>
      <c r="AO246" s="103"/>
      <c r="AP246" s="103">
        <v>121</v>
      </c>
      <c r="AQ246" s="103">
        <v>135</v>
      </c>
      <c r="AR246" s="103">
        <v>1158</v>
      </c>
      <c r="AS246" s="103"/>
      <c r="AT246" s="103"/>
      <c r="AU246" s="103"/>
      <c r="AV246" s="103"/>
      <c r="AW246" s="104" t="str">
        <f>HYPERLINK("http://www.openstreetmap.org/?mlat=33.3934&amp;mlon=43.5055&amp;zoom=12#map=12/33.3934/43.5055","Maplink1")</f>
        <v>Maplink1</v>
      </c>
      <c r="AX246" s="104" t="str">
        <f>HYPERLINK("https://www.google.iq/maps/search/+33.3934,43.5055/@33.3934,43.5055,14z?hl=en","Maplink2")</f>
        <v>Maplink2</v>
      </c>
      <c r="AY246" s="104" t="str">
        <f>HYPERLINK("http://www.bing.com/maps/?lvl=14&amp;sty=h&amp;cp=33.3934~43.5055&amp;sp=point.33.3934_43.5055","Maplink3")</f>
        <v>Maplink3</v>
      </c>
    </row>
    <row r="247" spans="1:51" x14ac:dyDescent="0.2">
      <c r="A247" s="102">
        <v>29579</v>
      </c>
      <c r="B247" s="103" t="s">
        <v>29</v>
      </c>
      <c r="C247" s="103" t="s">
        <v>83</v>
      </c>
      <c r="D247" s="103" t="s">
        <v>611</v>
      </c>
      <c r="E247" s="103" t="s">
        <v>612</v>
      </c>
      <c r="F247" s="103">
        <v>33.412959999999998</v>
      </c>
      <c r="G247" s="103">
        <v>43.310888729200002</v>
      </c>
      <c r="H247" s="102">
        <v>2294</v>
      </c>
      <c r="I247" s="102">
        <v>13764</v>
      </c>
      <c r="J247" s="103"/>
      <c r="K247" s="103"/>
      <c r="L247" s="103"/>
      <c r="M247" s="103">
        <v>2294</v>
      </c>
      <c r="N247" s="103"/>
      <c r="O247" s="103"/>
      <c r="P247" s="103"/>
      <c r="Q247" s="103"/>
      <c r="R247" s="103"/>
      <c r="S247" s="103"/>
      <c r="T247" s="103"/>
      <c r="U247" s="103">
        <v>394</v>
      </c>
      <c r="V247" s="103"/>
      <c r="W247" s="103">
        <v>813</v>
      </c>
      <c r="X247" s="103"/>
      <c r="Y247" s="103"/>
      <c r="Z247" s="103"/>
      <c r="AA247" s="103">
        <v>528</v>
      </c>
      <c r="AB247" s="103"/>
      <c r="AC247" s="103">
        <v>559</v>
      </c>
      <c r="AD247" s="103"/>
      <c r="AE247" s="103"/>
      <c r="AF247" s="103"/>
      <c r="AG247" s="103"/>
      <c r="AH247" s="103"/>
      <c r="AI247" s="103"/>
      <c r="AJ247" s="103"/>
      <c r="AK247" s="103"/>
      <c r="AL247" s="103"/>
      <c r="AM247" s="103">
        <v>715</v>
      </c>
      <c r="AN247" s="103"/>
      <c r="AO247" s="103"/>
      <c r="AP247" s="103">
        <v>579</v>
      </c>
      <c r="AQ247" s="103">
        <v>800</v>
      </c>
      <c r="AR247" s="103">
        <v>200</v>
      </c>
      <c r="AS247" s="103"/>
      <c r="AT247" s="103"/>
      <c r="AU247" s="103"/>
      <c r="AV247" s="103"/>
      <c r="AW247" s="104" t="str">
        <f>HYPERLINK("http://www.openstreetmap.org/?mlat=33.413&amp;mlon=43.3109&amp;zoom=12#map=12/33.413/43.3109","Maplink1")</f>
        <v>Maplink1</v>
      </c>
      <c r="AX247" s="104" t="str">
        <f>HYPERLINK("https://www.google.iq/maps/search/+33.413,43.3109/@33.413,43.3109,14z?hl=en","Maplink2")</f>
        <v>Maplink2</v>
      </c>
      <c r="AY247" s="104" t="str">
        <f>HYPERLINK("http://www.bing.com/maps/?lvl=14&amp;sty=h&amp;cp=33.413~43.3109&amp;sp=point.33.413_43.3109","Maplink3")</f>
        <v>Maplink3</v>
      </c>
    </row>
    <row r="248" spans="1:51" x14ac:dyDescent="0.2">
      <c r="A248" s="102">
        <v>118</v>
      </c>
      <c r="B248" s="103" t="s">
        <v>29</v>
      </c>
      <c r="C248" s="103" t="s">
        <v>83</v>
      </c>
      <c r="D248" s="103" t="s">
        <v>627</v>
      </c>
      <c r="E248" s="103" t="s">
        <v>628</v>
      </c>
      <c r="F248" s="103">
        <v>33.419473000000004</v>
      </c>
      <c r="G248" s="103">
        <v>43.298594999999999</v>
      </c>
      <c r="H248" s="102">
        <v>398</v>
      </c>
      <c r="I248" s="102">
        <v>2388</v>
      </c>
      <c r="J248" s="103"/>
      <c r="K248" s="103"/>
      <c r="L248" s="103"/>
      <c r="M248" s="103">
        <v>398</v>
      </c>
      <c r="N248" s="103"/>
      <c r="O248" s="103"/>
      <c r="P248" s="103"/>
      <c r="Q248" s="103"/>
      <c r="R248" s="103"/>
      <c r="S248" s="103"/>
      <c r="T248" s="103"/>
      <c r="U248" s="103">
        <v>102</v>
      </c>
      <c r="V248" s="103"/>
      <c r="W248" s="103">
        <v>112</v>
      </c>
      <c r="X248" s="103"/>
      <c r="Y248" s="103"/>
      <c r="Z248" s="103"/>
      <c r="AA248" s="103">
        <v>65</v>
      </c>
      <c r="AB248" s="103"/>
      <c r="AC248" s="103">
        <v>63</v>
      </c>
      <c r="AD248" s="103"/>
      <c r="AE248" s="103"/>
      <c r="AF248" s="103"/>
      <c r="AG248" s="103"/>
      <c r="AH248" s="103"/>
      <c r="AI248" s="103"/>
      <c r="AJ248" s="103">
        <v>56</v>
      </c>
      <c r="AK248" s="103"/>
      <c r="AL248" s="103"/>
      <c r="AM248" s="103">
        <v>188</v>
      </c>
      <c r="AN248" s="103">
        <v>29</v>
      </c>
      <c r="AO248" s="103"/>
      <c r="AP248" s="103">
        <v>95</v>
      </c>
      <c r="AQ248" s="103">
        <v>44</v>
      </c>
      <c r="AR248" s="103">
        <v>42</v>
      </c>
      <c r="AS248" s="103"/>
      <c r="AT248" s="103"/>
      <c r="AU248" s="103"/>
      <c r="AV248" s="103"/>
      <c r="AW248" s="104" t="str">
        <f>HYPERLINK("http://www.openstreetmap.org/?mlat=33.4195&amp;mlon=43.2986&amp;zoom=12#map=12/33.4195/43.2986","Maplink1")</f>
        <v>Maplink1</v>
      </c>
      <c r="AX248" s="104" t="str">
        <f>HYPERLINK("https://www.google.iq/maps/search/+33.4195,43.2986/@33.4195,43.2986,14z?hl=en","Maplink2")</f>
        <v>Maplink2</v>
      </c>
      <c r="AY248" s="104" t="str">
        <f>HYPERLINK("http://www.bing.com/maps/?lvl=14&amp;sty=h&amp;cp=33.4195~43.2986&amp;sp=point.33.4195_43.2986","Maplink3")</f>
        <v>Maplink3</v>
      </c>
    </row>
    <row r="249" spans="1:51" x14ac:dyDescent="0.2">
      <c r="A249" s="102">
        <v>308</v>
      </c>
      <c r="B249" s="103" t="s">
        <v>29</v>
      </c>
      <c r="C249" s="103" t="s">
        <v>83</v>
      </c>
      <c r="D249" s="103" t="s">
        <v>629</v>
      </c>
      <c r="E249" s="103" t="s">
        <v>630</v>
      </c>
      <c r="F249" s="103">
        <v>33.421150003000001</v>
      </c>
      <c r="G249" s="103">
        <v>43.2455026445</v>
      </c>
      <c r="H249" s="102">
        <v>1389</v>
      </c>
      <c r="I249" s="102">
        <v>8334</v>
      </c>
      <c r="J249" s="103"/>
      <c r="K249" s="103"/>
      <c r="L249" s="103">
        <v>150</v>
      </c>
      <c r="M249" s="103">
        <v>1212</v>
      </c>
      <c r="N249" s="103">
        <v>27</v>
      </c>
      <c r="O249" s="103"/>
      <c r="P249" s="103"/>
      <c r="Q249" s="103"/>
      <c r="R249" s="103"/>
      <c r="S249" s="103"/>
      <c r="T249" s="103"/>
      <c r="U249" s="103">
        <v>601</v>
      </c>
      <c r="V249" s="103">
        <v>102</v>
      </c>
      <c r="W249" s="103">
        <v>157</v>
      </c>
      <c r="X249" s="103"/>
      <c r="Y249" s="103"/>
      <c r="Z249" s="103"/>
      <c r="AA249" s="103">
        <v>188</v>
      </c>
      <c r="AB249" s="103"/>
      <c r="AC249" s="103">
        <v>271</v>
      </c>
      <c r="AD249" s="103"/>
      <c r="AE249" s="103"/>
      <c r="AF249" s="103"/>
      <c r="AG249" s="103"/>
      <c r="AH249" s="103"/>
      <c r="AI249" s="103"/>
      <c r="AJ249" s="103">
        <v>70</v>
      </c>
      <c r="AK249" s="103"/>
      <c r="AL249" s="103"/>
      <c r="AM249" s="103">
        <v>328</v>
      </c>
      <c r="AN249" s="103">
        <v>282</v>
      </c>
      <c r="AO249" s="103"/>
      <c r="AP249" s="103">
        <v>293</v>
      </c>
      <c r="AQ249" s="103">
        <v>486</v>
      </c>
      <c r="AR249" s="103"/>
      <c r="AS249" s="103"/>
      <c r="AT249" s="103"/>
      <c r="AU249" s="103"/>
      <c r="AV249" s="103"/>
      <c r="AW249" s="104" t="str">
        <f>HYPERLINK("http://www.openstreetmap.org/?mlat=33.4212&amp;mlon=43.2455&amp;zoom=12#map=12/33.4212/43.2455","Maplink1")</f>
        <v>Maplink1</v>
      </c>
      <c r="AX249" s="104" t="str">
        <f>HYPERLINK("https://www.google.iq/maps/search/+33.4212,43.2455/@33.4212,43.2455,14z?hl=en","Maplink2")</f>
        <v>Maplink2</v>
      </c>
      <c r="AY249" s="104" t="str">
        <f>HYPERLINK("http://www.bing.com/maps/?lvl=14&amp;sty=h&amp;cp=33.4212~43.2455&amp;sp=point.33.4212_43.2455","Maplink3")</f>
        <v>Maplink3</v>
      </c>
    </row>
    <row r="250" spans="1:51" x14ac:dyDescent="0.2">
      <c r="A250" s="102">
        <v>23854</v>
      </c>
      <c r="B250" s="103" t="s">
        <v>29</v>
      </c>
      <c r="C250" s="103" t="s">
        <v>83</v>
      </c>
      <c r="D250" s="103" t="s">
        <v>631</v>
      </c>
      <c r="E250" s="103" t="s">
        <v>632</v>
      </c>
      <c r="F250" s="103">
        <v>33.3896447256</v>
      </c>
      <c r="G250" s="103">
        <v>43.596446641500002</v>
      </c>
      <c r="H250" s="102">
        <v>354</v>
      </c>
      <c r="I250" s="102">
        <v>2124</v>
      </c>
      <c r="J250" s="103"/>
      <c r="K250" s="103"/>
      <c r="L250" s="103"/>
      <c r="M250" s="103">
        <v>354</v>
      </c>
      <c r="N250" s="103"/>
      <c r="O250" s="103"/>
      <c r="P250" s="103"/>
      <c r="Q250" s="103"/>
      <c r="R250" s="103"/>
      <c r="S250" s="103"/>
      <c r="T250" s="103"/>
      <c r="U250" s="103">
        <v>49</v>
      </c>
      <c r="V250" s="103"/>
      <c r="W250" s="103">
        <v>99</v>
      </c>
      <c r="X250" s="103"/>
      <c r="Y250" s="103"/>
      <c r="Z250" s="103"/>
      <c r="AA250" s="103">
        <v>206</v>
      </c>
      <c r="AB250" s="103"/>
      <c r="AC250" s="103"/>
      <c r="AD250" s="103"/>
      <c r="AE250" s="103"/>
      <c r="AF250" s="103"/>
      <c r="AG250" s="103"/>
      <c r="AH250" s="103"/>
      <c r="AI250" s="103"/>
      <c r="AJ250" s="103"/>
      <c r="AK250" s="103"/>
      <c r="AL250" s="103"/>
      <c r="AM250" s="103"/>
      <c r="AN250" s="103"/>
      <c r="AO250" s="103"/>
      <c r="AP250" s="103">
        <v>215</v>
      </c>
      <c r="AQ250" s="103">
        <v>139</v>
      </c>
      <c r="AR250" s="103"/>
      <c r="AS250" s="103"/>
      <c r="AT250" s="103"/>
      <c r="AU250" s="103"/>
      <c r="AV250" s="103"/>
      <c r="AW250" s="104" t="str">
        <f>HYPERLINK("http://www.openstreetmap.org/?mlat=33.3896&amp;mlon=43.5964&amp;zoom=12#map=12/33.3896/43.5964","Maplink1")</f>
        <v>Maplink1</v>
      </c>
      <c r="AX250" s="104" t="str">
        <f>HYPERLINK("https://www.google.iq/maps/search/+33.3896,43.5964/@33.3896,43.5964,14z?hl=en","Maplink2")</f>
        <v>Maplink2</v>
      </c>
      <c r="AY250" s="104" t="str">
        <f>HYPERLINK("http://www.bing.com/maps/?lvl=14&amp;sty=h&amp;cp=33.3896~43.5964&amp;sp=point.33.3896_43.5964","Maplink3")</f>
        <v>Maplink3</v>
      </c>
    </row>
    <row r="251" spans="1:51" x14ac:dyDescent="0.2">
      <c r="A251" s="102">
        <v>206</v>
      </c>
      <c r="B251" s="103" t="s">
        <v>29</v>
      </c>
      <c r="C251" s="103" t="s">
        <v>83</v>
      </c>
      <c r="D251" s="103" t="s">
        <v>633</v>
      </c>
      <c r="E251" s="103" t="s">
        <v>157</v>
      </c>
      <c r="F251" s="103">
        <v>33.3756752225</v>
      </c>
      <c r="G251" s="103">
        <v>43.5349991438</v>
      </c>
      <c r="H251" s="102">
        <v>622</v>
      </c>
      <c r="I251" s="102">
        <v>3732</v>
      </c>
      <c r="J251" s="103"/>
      <c r="K251" s="103"/>
      <c r="L251" s="103"/>
      <c r="M251" s="103">
        <v>622</v>
      </c>
      <c r="N251" s="103"/>
      <c r="O251" s="103"/>
      <c r="P251" s="103"/>
      <c r="Q251" s="103"/>
      <c r="R251" s="103"/>
      <c r="S251" s="103"/>
      <c r="T251" s="103"/>
      <c r="U251" s="103">
        <v>190</v>
      </c>
      <c r="V251" s="103"/>
      <c r="W251" s="103">
        <v>194</v>
      </c>
      <c r="X251" s="103"/>
      <c r="Y251" s="103"/>
      <c r="Z251" s="103"/>
      <c r="AA251" s="103">
        <v>112</v>
      </c>
      <c r="AB251" s="103"/>
      <c r="AC251" s="103">
        <v>103</v>
      </c>
      <c r="AD251" s="103"/>
      <c r="AE251" s="103"/>
      <c r="AF251" s="103"/>
      <c r="AG251" s="103"/>
      <c r="AH251" s="103"/>
      <c r="AI251" s="103"/>
      <c r="AJ251" s="103">
        <v>23</v>
      </c>
      <c r="AK251" s="103"/>
      <c r="AL251" s="103"/>
      <c r="AM251" s="103">
        <v>121</v>
      </c>
      <c r="AN251" s="103">
        <v>133</v>
      </c>
      <c r="AO251" s="103"/>
      <c r="AP251" s="103">
        <v>240</v>
      </c>
      <c r="AQ251" s="103">
        <v>128</v>
      </c>
      <c r="AR251" s="103"/>
      <c r="AS251" s="103"/>
      <c r="AT251" s="103"/>
      <c r="AU251" s="103"/>
      <c r="AV251" s="103"/>
      <c r="AW251" s="104" t="str">
        <f>HYPERLINK("http://www.openstreetmap.org/?mlat=33.3757&amp;mlon=43.535&amp;zoom=12#map=12/33.3757/43.535","Maplink1")</f>
        <v>Maplink1</v>
      </c>
      <c r="AX251" s="104" t="str">
        <f>HYPERLINK("https://www.google.iq/maps/search/+33.3757,43.535/@33.3757,43.535,14z?hl=en","Maplink2")</f>
        <v>Maplink2</v>
      </c>
      <c r="AY251" s="104" t="str">
        <f>HYPERLINK("http://www.bing.com/maps/?lvl=14&amp;sty=h&amp;cp=33.3757~43.535&amp;sp=point.33.3757_43.535","Maplink3")</f>
        <v>Maplink3</v>
      </c>
    </row>
    <row r="252" spans="1:51" x14ac:dyDescent="0.2">
      <c r="A252" s="102">
        <v>25800</v>
      </c>
      <c r="B252" s="103" t="s">
        <v>29</v>
      </c>
      <c r="C252" s="103" t="s">
        <v>83</v>
      </c>
      <c r="D252" s="103" t="s">
        <v>634</v>
      </c>
      <c r="E252" s="103" t="s">
        <v>635</v>
      </c>
      <c r="F252" s="103">
        <v>33.429310000000001</v>
      </c>
      <c r="G252" s="103">
        <v>43.3067810481</v>
      </c>
      <c r="H252" s="102">
        <v>1881</v>
      </c>
      <c r="I252" s="102">
        <v>11286</v>
      </c>
      <c r="J252" s="103"/>
      <c r="K252" s="103"/>
      <c r="L252" s="103">
        <v>68</v>
      </c>
      <c r="M252" s="103">
        <v>1808</v>
      </c>
      <c r="N252" s="103">
        <v>5</v>
      </c>
      <c r="O252" s="103"/>
      <c r="P252" s="103"/>
      <c r="Q252" s="103"/>
      <c r="R252" s="103"/>
      <c r="S252" s="103"/>
      <c r="T252" s="103"/>
      <c r="U252" s="103">
        <v>740</v>
      </c>
      <c r="V252" s="103"/>
      <c r="W252" s="103">
        <v>326</v>
      </c>
      <c r="X252" s="103"/>
      <c r="Y252" s="103"/>
      <c r="Z252" s="103"/>
      <c r="AA252" s="103">
        <v>87</v>
      </c>
      <c r="AB252" s="103"/>
      <c r="AC252" s="103">
        <v>516</v>
      </c>
      <c r="AD252" s="103"/>
      <c r="AE252" s="103"/>
      <c r="AF252" s="103"/>
      <c r="AG252" s="103"/>
      <c r="AH252" s="103"/>
      <c r="AI252" s="103">
        <v>90</v>
      </c>
      <c r="AJ252" s="103">
        <v>122</v>
      </c>
      <c r="AK252" s="103"/>
      <c r="AL252" s="103"/>
      <c r="AM252" s="103">
        <v>956</v>
      </c>
      <c r="AN252" s="103">
        <v>314</v>
      </c>
      <c r="AO252" s="103"/>
      <c r="AP252" s="103">
        <v>390</v>
      </c>
      <c r="AQ252" s="103">
        <v>216</v>
      </c>
      <c r="AR252" s="103">
        <v>5</v>
      </c>
      <c r="AS252" s="103"/>
      <c r="AT252" s="103"/>
      <c r="AU252" s="103"/>
      <c r="AV252" s="103"/>
      <c r="AW252" s="104" t="str">
        <f>HYPERLINK("http://www.openstreetmap.org/?mlat=33.4293&amp;mlon=43.3068&amp;zoom=12#map=12/33.4293/43.3068","Maplink1")</f>
        <v>Maplink1</v>
      </c>
      <c r="AX252" s="104" t="str">
        <f>HYPERLINK("https://www.google.iq/maps/search/+33.4293,43.3068/@33.4293,43.3068,14z?hl=en","Maplink2")</f>
        <v>Maplink2</v>
      </c>
      <c r="AY252" s="104" t="str">
        <f>HYPERLINK("http://www.bing.com/maps/?lvl=14&amp;sty=h&amp;cp=33.4293~43.3068&amp;sp=point.33.4293_43.3068","Maplink3")</f>
        <v>Maplink3</v>
      </c>
    </row>
    <row r="253" spans="1:51" x14ac:dyDescent="0.2">
      <c r="A253" s="102">
        <v>133</v>
      </c>
      <c r="B253" s="103" t="s">
        <v>29</v>
      </c>
      <c r="C253" s="103" t="s">
        <v>83</v>
      </c>
      <c r="D253" s="103" t="s">
        <v>721</v>
      </c>
      <c r="E253" s="103" t="s">
        <v>722</v>
      </c>
      <c r="F253" s="103">
        <v>33.414050000000003</v>
      </c>
      <c r="G253" s="103">
        <v>43.306325361200003</v>
      </c>
      <c r="H253" s="102">
        <v>1341</v>
      </c>
      <c r="I253" s="102">
        <v>8046</v>
      </c>
      <c r="J253" s="103"/>
      <c r="K253" s="103"/>
      <c r="L253" s="103"/>
      <c r="M253" s="103">
        <v>1341</v>
      </c>
      <c r="N253" s="103"/>
      <c r="O253" s="103"/>
      <c r="P253" s="103"/>
      <c r="Q253" s="103"/>
      <c r="R253" s="103"/>
      <c r="S253" s="103"/>
      <c r="T253" s="103"/>
      <c r="U253" s="103">
        <v>574</v>
      </c>
      <c r="V253" s="103"/>
      <c r="W253" s="103">
        <v>92</v>
      </c>
      <c r="X253" s="103"/>
      <c r="Y253" s="103"/>
      <c r="Z253" s="103"/>
      <c r="AA253" s="103">
        <v>165</v>
      </c>
      <c r="AB253" s="103"/>
      <c r="AC253" s="103">
        <v>190</v>
      </c>
      <c r="AD253" s="103"/>
      <c r="AE253" s="103"/>
      <c r="AF253" s="103"/>
      <c r="AG253" s="103"/>
      <c r="AH253" s="103"/>
      <c r="AI253" s="103"/>
      <c r="AJ253" s="103">
        <v>320</v>
      </c>
      <c r="AK253" s="103"/>
      <c r="AL253" s="103"/>
      <c r="AM253" s="103">
        <v>392</v>
      </c>
      <c r="AN253" s="103"/>
      <c r="AO253" s="103"/>
      <c r="AP253" s="103">
        <v>459</v>
      </c>
      <c r="AQ253" s="103">
        <v>490</v>
      </c>
      <c r="AR253" s="103"/>
      <c r="AS253" s="103"/>
      <c r="AT253" s="103"/>
      <c r="AU253" s="103"/>
      <c r="AV253" s="103"/>
      <c r="AW253" s="104" t="str">
        <f>HYPERLINK("http://www.openstreetmap.org/?mlat=33.4141&amp;mlon=43.3063&amp;zoom=12#map=12/33.4141/43.3063","Maplink1")</f>
        <v>Maplink1</v>
      </c>
      <c r="AX253" s="104" t="str">
        <f>HYPERLINK("https://www.google.iq/maps/search/+33.4141,43.3063/@33.4141,43.3063,14z?hl=en","Maplink2")</f>
        <v>Maplink2</v>
      </c>
      <c r="AY253" s="104" t="str">
        <f>HYPERLINK("http://www.bing.com/maps/?lvl=14&amp;sty=h&amp;cp=33.4141~43.3063&amp;sp=point.33.4141_43.3063","Maplink3")</f>
        <v>Maplink3</v>
      </c>
    </row>
    <row r="254" spans="1:51" x14ac:dyDescent="0.2">
      <c r="A254" s="102">
        <v>33827</v>
      </c>
      <c r="B254" s="103" t="s">
        <v>29</v>
      </c>
      <c r="C254" s="103" t="s">
        <v>83</v>
      </c>
      <c r="D254" s="103" t="s">
        <v>723</v>
      </c>
      <c r="E254" s="103" t="s">
        <v>724</v>
      </c>
      <c r="F254" s="103">
        <v>33.399031000000001</v>
      </c>
      <c r="G254" s="103">
        <v>43.161924999999997</v>
      </c>
      <c r="H254" s="102">
        <v>48</v>
      </c>
      <c r="I254" s="102">
        <v>288</v>
      </c>
      <c r="J254" s="103"/>
      <c r="K254" s="103"/>
      <c r="L254" s="103"/>
      <c r="M254" s="103"/>
      <c r="N254" s="103"/>
      <c r="O254" s="103"/>
      <c r="P254" s="103"/>
      <c r="Q254" s="103"/>
      <c r="R254" s="103"/>
      <c r="S254" s="103">
        <v>48</v>
      </c>
      <c r="T254" s="103"/>
      <c r="U254" s="103"/>
      <c r="V254" s="103"/>
      <c r="W254" s="103">
        <v>11</v>
      </c>
      <c r="X254" s="103"/>
      <c r="Y254" s="103"/>
      <c r="Z254" s="103"/>
      <c r="AA254" s="103">
        <v>22</v>
      </c>
      <c r="AB254" s="103"/>
      <c r="AC254" s="103"/>
      <c r="AD254" s="103"/>
      <c r="AE254" s="103"/>
      <c r="AF254" s="103"/>
      <c r="AG254" s="103"/>
      <c r="AH254" s="103"/>
      <c r="AI254" s="103"/>
      <c r="AJ254" s="103">
        <v>15</v>
      </c>
      <c r="AK254" s="103"/>
      <c r="AL254" s="103"/>
      <c r="AM254" s="103">
        <v>48</v>
      </c>
      <c r="AN254" s="103"/>
      <c r="AO254" s="103"/>
      <c r="AP254" s="103"/>
      <c r="AQ254" s="103"/>
      <c r="AR254" s="103"/>
      <c r="AS254" s="103"/>
      <c r="AT254" s="103"/>
      <c r="AU254" s="103"/>
      <c r="AV254" s="103"/>
      <c r="AW254" s="104" t="str">
        <f>HYPERLINK("http://www.openstreetmap.org/?mlat=33.399&amp;mlon=43.1619&amp;zoom=12#map=12/33.399/43.1619","Maplink1")</f>
        <v>Maplink1</v>
      </c>
      <c r="AX254" s="104" t="str">
        <f>HYPERLINK("https://www.google.iq/maps/search/+33.399,43.1619/@33.399,43.1619,14z?hl=en","Maplink2")</f>
        <v>Maplink2</v>
      </c>
      <c r="AY254" s="104" t="str">
        <f>HYPERLINK("http://www.bing.com/maps/?lvl=14&amp;sty=h&amp;cp=33.399~43.1619&amp;sp=point.33.399_43.1619","Maplink3")</f>
        <v>Maplink3</v>
      </c>
    </row>
    <row r="255" spans="1:51" x14ac:dyDescent="0.2">
      <c r="A255" s="102">
        <v>33828</v>
      </c>
      <c r="B255" s="103" t="s">
        <v>29</v>
      </c>
      <c r="C255" s="103" t="s">
        <v>83</v>
      </c>
      <c r="D255" s="103" t="s">
        <v>725</v>
      </c>
      <c r="E255" s="103" t="s">
        <v>726</v>
      </c>
      <c r="F255" s="103">
        <v>33.268999999999998</v>
      </c>
      <c r="G255" s="103">
        <v>43.312600000000003</v>
      </c>
      <c r="H255" s="102">
        <v>1500</v>
      </c>
      <c r="I255" s="102">
        <v>9000</v>
      </c>
      <c r="J255" s="103"/>
      <c r="K255" s="103"/>
      <c r="L255" s="103"/>
      <c r="M255" s="103">
        <v>1500</v>
      </c>
      <c r="N255" s="103"/>
      <c r="O255" s="103"/>
      <c r="P255" s="103"/>
      <c r="Q255" s="103"/>
      <c r="R255" s="103"/>
      <c r="S255" s="103"/>
      <c r="T255" s="103"/>
      <c r="U255" s="103">
        <v>850</v>
      </c>
      <c r="V255" s="103"/>
      <c r="W255" s="103">
        <v>300</v>
      </c>
      <c r="X255" s="103"/>
      <c r="Y255" s="103"/>
      <c r="Z255" s="103"/>
      <c r="AA255" s="103">
        <v>250</v>
      </c>
      <c r="AB255" s="103"/>
      <c r="AC255" s="103"/>
      <c r="AD255" s="103"/>
      <c r="AE255" s="103"/>
      <c r="AF255" s="103"/>
      <c r="AG255" s="103"/>
      <c r="AH255" s="103"/>
      <c r="AI255" s="103"/>
      <c r="AJ255" s="103">
        <v>100</v>
      </c>
      <c r="AK255" s="103"/>
      <c r="AL255" s="103"/>
      <c r="AM255" s="103"/>
      <c r="AN255" s="103">
        <v>800</v>
      </c>
      <c r="AO255" s="103"/>
      <c r="AP255" s="103"/>
      <c r="AQ255" s="103">
        <v>200</v>
      </c>
      <c r="AR255" s="103">
        <v>500</v>
      </c>
      <c r="AS255" s="103"/>
      <c r="AT255" s="103"/>
      <c r="AU255" s="103"/>
      <c r="AV255" s="103"/>
      <c r="AW255" s="104" t="str">
        <f>HYPERLINK("http://www.openstreetmap.org/?mlat=33.269&amp;mlon=43.3126&amp;zoom=12#map=12/33.269/43.3126","Maplink1")</f>
        <v>Maplink1</v>
      </c>
      <c r="AX255" s="104" t="str">
        <f>HYPERLINK("https://www.google.iq/maps/search/+33.269,43.3126/@33.269,43.3126,14z?hl=en","Maplink2")</f>
        <v>Maplink2</v>
      </c>
      <c r="AY255" s="104" t="str">
        <f>HYPERLINK("http://www.bing.com/maps/?lvl=14&amp;sty=h&amp;cp=33.269~43.3126&amp;sp=point.33.269_43.3126","Maplink3")</f>
        <v>Maplink3</v>
      </c>
    </row>
    <row r="256" spans="1:51" x14ac:dyDescent="0.2">
      <c r="A256" s="102">
        <v>29561</v>
      </c>
      <c r="B256" s="103" t="s">
        <v>29</v>
      </c>
      <c r="C256" s="103" t="s">
        <v>83</v>
      </c>
      <c r="D256" s="103" t="s">
        <v>739</v>
      </c>
      <c r="E256" s="103" t="s">
        <v>740</v>
      </c>
      <c r="F256" s="103">
        <v>33.422110000000004</v>
      </c>
      <c r="G256" s="103">
        <v>43.260916052299997</v>
      </c>
      <c r="H256" s="102">
        <v>1316</v>
      </c>
      <c r="I256" s="102">
        <v>7896</v>
      </c>
      <c r="J256" s="103"/>
      <c r="K256" s="103"/>
      <c r="L256" s="103">
        <v>54</v>
      </c>
      <c r="M256" s="103">
        <v>1262</v>
      </c>
      <c r="N256" s="103"/>
      <c r="O256" s="103"/>
      <c r="P256" s="103"/>
      <c r="Q256" s="103"/>
      <c r="R256" s="103"/>
      <c r="S256" s="103"/>
      <c r="T256" s="103"/>
      <c r="U256" s="103">
        <v>721</v>
      </c>
      <c r="V256" s="103"/>
      <c r="W256" s="103">
        <v>160</v>
      </c>
      <c r="X256" s="103"/>
      <c r="Y256" s="103"/>
      <c r="Z256" s="103"/>
      <c r="AA256" s="103">
        <v>279</v>
      </c>
      <c r="AB256" s="103"/>
      <c r="AC256" s="103">
        <v>102</v>
      </c>
      <c r="AD256" s="103"/>
      <c r="AE256" s="103"/>
      <c r="AF256" s="103"/>
      <c r="AG256" s="103"/>
      <c r="AH256" s="103"/>
      <c r="AI256" s="103"/>
      <c r="AJ256" s="103">
        <v>54</v>
      </c>
      <c r="AK256" s="103"/>
      <c r="AL256" s="103"/>
      <c r="AM256" s="103">
        <v>173</v>
      </c>
      <c r="AN256" s="103">
        <v>133</v>
      </c>
      <c r="AO256" s="103"/>
      <c r="AP256" s="103">
        <v>316</v>
      </c>
      <c r="AQ256" s="103">
        <v>694</v>
      </c>
      <c r="AR256" s="103"/>
      <c r="AS256" s="103"/>
      <c r="AT256" s="103"/>
      <c r="AU256" s="103"/>
      <c r="AV256" s="103"/>
      <c r="AW256" s="104" t="str">
        <f>HYPERLINK("http://www.openstreetmap.org/?mlat=33.4221&amp;mlon=43.2609&amp;zoom=12#map=12/33.4221/43.2609","Maplink1")</f>
        <v>Maplink1</v>
      </c>
      <c r="AX256" s="104" t="str">
        <f>HYPERLINK("https://www.google.iq/maps/search/+33.4221,43.2609/@33.4221,43.2609,14z?hl=en","Maplink2")</f>
        <v>Maplink2</v>
      </c>
      <c r="AY256" s="104" t="str">
        <f>HYPERLINK("http://www.bing.com/maps/?lvl=14&amp;sty=h&amp;cp=33.4221~43.2609&amp;sp=point.33.4221_43.2609","Maplink3")</f>
        <v>Maplink3</v>
      </c>
    </row>
    <row r="257" spans="1:51" x14ac:dyDescent="0.2">
      <c r="A257" s="102">
        <v>33964</v>
      </c>
      <c r="B257" s="103" t="s">
        <v>29</v>
      </c>
      <c r="C257" s="103" t="s">
        <v>83</v>
      </c>
      <c r="D257" s="103" t="s">
        <v>741</v>
      </c>
      <c r="E257" s="103" t="s">
        <v>175</v>
      </c>
      <c r="F257" s="103">
        <v>33.2258</v>
      </c>
      <c r="G257" s="103">
        <v>43.3125</v>
      </c>
      <c r="H257" s="102">
        <v>228</v>
      </c>
      <c r="I257" s="102">
        <v>1368</v>
      </c>
      <c r="J257" s="103"/>
      <c r="K257" s="103"/>
      <c r="L257" s="103"/>
      <c r="M257" s="103">
        <v>228</v>
      </c>
      <c r="N257" s="103"/>
      <c r="O257" s="103"/>
      <c r="P257" s="103"/>
      <c r="Q257" s="103"/>
      <c r="R257" s="103"/>
      <c r="S257" s="103"/>
      <c r="T257" s="103"/>
      <c r="U257" s="103">
        <v>120</v>
      </c>
      <c r="V257" s="103"/>
      <c r="W257" s="103">
        <v>58</v>
      </c>
      <c r="X257" s="103"/>
      <c r="Y257" s="103"/>
      <c r="Z257" s="103"/>
      <c r="AA257" s="103">
        <v>50</v>
      </c>
      <c r="AB257" s="103"/>
      <c r="AC257" s="103"/>
      <c r="AD257" s="103"/>
      <c r="AE257" s="103"/>
      <c r="AF257" s="103"/>
      <c r="AG257" s="103"/>
      <c r="AH257" s="103"/>
      <c r="AI257" s="103"/>
      <c r="AJ257" s="103"/>
      <c r="AK257" s="103"/>
      <c r="AL257" s="103"/>
      <c r="AM257" s="103"/>
      <c r="AN257" s="103"/>
      <c r="AO257" s="103"/>
      <c r="AP257" s="103"/>
      <c r="AQ257" s="103">
        <v>228</v>
      </c>
      <c r="AR257" s="103"/>
      <c r="AS257" s="103"/>
      <c r="AT257" s="103"/>
      <c r="AU257" s="103"/>
      <c r="AV257" s="103"/>
      <c r="AW257" s="104" t="str">
        <f>HYPERLINK("http://www.openstreetmap.org/?mlat=33.2258&amp;mlon=43.3125&amp;zoom=12#map=12/33.2258/43.3125","Maplink1")</f>
        <v>Maplink1</v>
      </c>
      <c r="AX257" s="104" t="str">
        <f>HYPERLINK("https://www.google.iq/maps/search/+33.2258,43.3125/@33.2258,43.3125,14z?hl=en","Maplink2")</f>
        <v>Maplink2</v>
      </c>
      <c r="AY257" s="104" t="str">
        <f>HYPERLINK("http://www.bing.com/maps/?lvl=14&amp;sty=h&amp;cp=33.2258~43.3125&amp;sp=point.33.2258_43.3125","Maplink3")</f>
        <v>Maplink3</v>
      </c>
    </row>
    <row r="258" spans="1:51" x14ac:dyDescent="0.2">
      <c r="A258" s="102">
        <v>20939</v>
      </c>
      <c r="B258" s="103" t="s">
        <v>29</v>
      </c>
      <c r="C258" s="103" t="s">
        <v>83</v>
      </c>
      <c r="D258" s="103" t="s">
        <v>699</v>
      </c>
      <c r="E258" s="103" t="s">
        <v>700</v>
      </c>
      <c r="F258" s="103">
        <v>33.465264589</v>
      </c>
      <c r="G258" s="103">
        <v>43.398147989800002</v>
      </c>
      <c r="H258" s="102">
        <v>1184</v>
      </c>
      <c r="I258" s="102">
        <v>7104</v>
      </c>
      <c r="J258" s="103"/>
      <c r="K258" s="103"/>
      <c r="L258" s="103"/>
      <c r="M258" s="103">
        <v>1184</v>
      </c>
      <c r="N258" s="103"/>
      <c r="O258" s="103"/>
      <c r="P258" s="103"/>
      <c r="Q258" s="103"/>
      <c r="R258" s="103"/>
      <c r="S258" s="103"/>
      <c r="T258" s="103"/>
      <c r="U258" s="103">
        <v>253</v>
      </c>
      <c r="V258" s="103"/>
      <c r="W258" s="103">
        <v>502</v>
      </c>
      <c r="X258" s="103"/>
      <c r="Y258" s="103"/>
      <c r="Z258" s="103"/>
      <c r="AA258" s="103">
        <v>99</v>
      </c>
      <c r="AB258" s="103"/>
      <c r="AC258" s="103">
        <v>330</v>
      </c>
      <c r="AD258" s="103"/>
      <c r="AE258" s="103"/>
      <c r="AF258" s="103"/>
      <c r="AG258" s="103"/>
      <c r="AH258" s="103"/>
      <c r="AI258" s="103"/>
      <c r="AJ258" s="103"/>
      <c r="AK258" s="103"/>
      <c r="AL258" s="103"/>
      <c r="AM258" s="103">
        <v>335</v>
      </c>
      <c r="AN258" s="103">
        <v>130</v>
      </c>
      <c r="AO258" s="103"/>
      <c r="AP258" s="103">
        <v>485</v>
      </c>
      <c r="AQ258" s="103">
        <v>234</v>
      </c>
      <c r="AR258" s="103"/>
      <c r="AS258" s="103"/>
      <c r="AT258" s="103"/>
      <c r="AU258" s="103"/>
      <c r="AV258" s="103"/>
      <c r="AW258" s="104" t="str">
        <f>HYPERLINK("http://www.openstreetmap.org/?mlat=33.4653&amp;mlon=43.3981&amp;zoom=12#map=12/33.4653/43.3981","Maplink1")</f>
        <v>Maplink1</v>
      </c>
      <c r="AX258" s="104" t="str">
        <f>HYPERLINK("https://www.google.iq/maps/search/+33.4653,43.3981/@33.4653,43.3981,14z?hl=en","Maplink2")</f>
        <v>Maplink2</v>
      </c>
      <c r="AY258" s="104" t="str">
        <f>HYPERLINK("http://www.bing.com/maps/?lvl=14&amp;sty=h&amp;cp=33.4653~43.3981&amp;sp=point.33.4653_43.3981","Maplink3")</f>
        <v>Maplink3</v>
      </c>
    </row>
    <row r="259" spans="1:51" x14ac:dyDescent="0.2">
      <c r="A259" s="102">
        <v>297</v>
      </c>
      <c r="B259" s="103" t="s">
        <v>29</v>
      </c>
      <c r="C259" s="103" t="s">
        <v>83</v>
      </c>
      <c r="D259" s="103" t="s">
        <v>701</v>
      </c>
      <c r="E259" s="103" t="s">
        <v>702</v>
      </c>
      <c r="F259" s="103">
        <v>33.432940000000002</v>
      </c>
      <c r="G259" s="103">
        <v>43.3057077765</v>
      </c>
      <c r="H259" s="102">
        <v>1994</v>
      </c>
      <c r="I259" s="102">
        <v>11964</v>
      </c>
      <c r="J259" s="103"/>
      <c r="K259" s="103"/>
      <c r="L259" s="103">
        <v>309</v>
      </c>
      <c r="M259" s="103">
        <v>1631</v>
      </c>
      <c r="N259" s="103">
        <v>54</v>
      </c>
      <c r="O259" s="103"/>
      <c r="P259" s="103"/>
      <c r="Q259" s="103"/>
      <c r="R259" s="103"/>
      <c r="S259" s="103"/>
      <c r="T259" s="103"/>
      <c r="U259" s="103">
        <v>1343</v>
      </c>
      <c r="V259" s="103">
        <v>54</v>
      </c>
      <c r="W259" s="103">
        <v>445</v>
      </c>
      <c r="X259" s="103"/>
      <c r="Y259" s="103"/>
      <c r="Z259" s="103"/>
      <c r="AA259" s="103">
        <v>152</v>
      </c>
      <c r="AB259" s="103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3"/>
      <c r="AM259" s="103">
        <v>427</v>
      </c>
      <c r="AN259" s="103"/>
      <c r="AO259" s="103"/>
      <c r="AP259" s="103">
        <v>332</v>
      </c>
      <c r="AQ259" s="103">
        <v>1187</v>
      </c>
      <c r="AR259" s="103">
        <v>48</v>
      </c>
      <c r="AS259" s="103"/>
      <c r="AT259" s="103"/>
      <c r="AU259" s="103"/>
      <c r="AV259" s="103"/>
      <c r="AW259" s="104" t="str">
        <f>HYPERLINK("http://www.openstreetmap.org/?mlat=33.4329&amp;mlon=43.3057&amp;zoom=12#map=12/33.4329/43.3057","Maplink1")</f>
        <v>Maplink1</v>
      </c>
      <c r="AX259" s="104" t="str">
        <f>HYPERLINK("https://www.google.iq/maps/search/+33.4329,43.3057/@33.4329,43.3057,14z?hl=en","Maplink2")</f>
        <v>Maplink2</v>
      </c>
      <c r="AY259" s="104" t="str">
        <f>HYPERLINK("http://www.bing.com/maps/?lvl=14&amp;sty=h&amp;cp=33.4329~43.3057&amp;sp=point.33.4329_43.3057","Maplink3")</f>
        <v>Maplink3</v>
      </c>
    </row>
    <row r="260" spans="1:51" x14ac:dyDescent="0.2">
      <c r="A260" s="102">
        <v>33830</v>
      </c>
      <c r="B260" s="103" t="s">
        <v>29</v>
      </c>
      <c r="C260" s="103" t="s">
        <v>83</v>
      </c>
      <c r="D260" s="103" t="s">
        <v>703</v>
      </c>
      <c r="E260" s="103" t="s">
        <v>704</v>
      </c>
      <c r="F260" s="103">
        <v>33.244999999999997</v>
      </c>
      <c r="G260" s="103">
        <v>43.313400000000001</v>
      </c>
      <c r="H260" s="102">
        <v>75</v>
      </c>
      <c r="I260" s="102">
        <v>450</v>
      </c>
      <c r="J260" s="103"/>
      <c r="K260" s="103"/>
      <c r="L260" s="103"/>
      <c r="M260" s="103">
        <v>75</v>
      </c>
      <c r="N260" s="103"/>
      <c r="O260" s="103"/>
      <c r="P260" s="103"/>
      <c r="Q260" s="103"/>
      <c r="R260" s="103"/>
      <c r="S260" s="103"/>
      <c r="T260" s="103"/>
      <c r="U260" s="103">
        <v>40</v>
      </c>
      <c r="V260" s="103"/>
      <c r="W260" s="103">
        <v>35</v>
      </c>
      <c r="X260" s="103"/>
      <c r="Y260" s="103"/>
      <c r="Z260" s="103"/>
      <c r="AA260" s="103"/>
      <c r="AB260" s="103"/>
      <c r="AC260" s="103"/>
      <c r="AD260" s="103"/>
      <c r="AE260" s="103"/>
      <c r="AF260" s="103"/>
      <c r="AG260" s="103"/>
      <c r="AH260" s="103"/>
      <c r="AI260" s="103"/>
      <c r="AJ260" s="103"/>
      <c r="AK260" s="103"/>
      <c r="AL260" s="103"/>
      <c r="AM260" s="103"/>
      <c r="AN260" s="103">
        <v>75</v>
      </c>
      <c r="AO260" s="103"/>
      <c r="AP260" s="103"/>
      <c r="AQ260" s="103"/>
      <c r="AR260" s="103"/>
      <c r="AS260" s="103"/>
      <c r="AT260" s="103"/>
      <c r="AU260" s="103"/>
      <c r="AV260" s="103"/>
      <c r="AW260" s="104" t="str">
        <f>HYPERLINK("http://www.openstreetmap.org/?mlat=33.245&amp;mlon=43.3134&amp;zoom=12#map=12/33.245/43.3134","Maplink1")</f>
        <v>Maplink1</v>
      </c>
      <c r="AX260" s="104" t="str">
        <f>HYPERLINK("https://www.google.iq/maps/search/+33.245,43.3134/@33.245,43.3134,14z?hl=en","Maplink2")</f>
        <v>Maplink2</v>
      </c>
      <c r="AY260" s="104" t="str">
        <f>HYPERLINK("http://www.bing.com/maps/?lvl=14&amp;sty=h&amp;cp=33.245~43.3134&amp;sp=point.33.245_43.3134","Maplink3")</f>
        <v>Maplink3</v>
      </c>
    </row>
    <row r="261" spans="1:51" x14ac:dyDescent="0.2">
      <c r="A261" s="102">
        <v>25442</v>
      </c>
      <c r="B261" s="103" t="s">
        <v>29</v>
      </c>
      <c r="C261" s="103" t="s">
        <v>83</v>
      </c>
      <c r="D261" s="103" t="s">
        <v>625</v>
      </c>
      <c r="E261" s="103" t="s">
        <v>626</v>
      </c>
      <c r="F261" s="103">
        <v>33.416320633799998</v>
      </c>
      <c r="G261" s="103">
        <v>43.2700260632</v>
      </c>
      <c r="H261" s="102">
        <v>869</v>
      </c>
      <c r="I261" s="102">
        <v>5214</v>
      </c>
      <c r="J261" s="103"/>
      <c r="K261" s="103"/>
      <c r="L261" s="103">
        <v>97</v>
      </c>
      <c r="M261" s="103">
        <v>729</v>
      </c>
      <c r="N261" s="103">
        <v>43</v>
      </c>
      <c r="O261" s="103"/>
      <c r="P261" s="103"/>
      <c r="Q261" s="103"/>
      <c r="R261" s="103"/>
      <c r="S261" s="103"/>
      <c r="T261" s="103"/>
      <c r="U261" s="103">
        <v>235</v>
      </c>
      <c r="V261" s="103"/>
      <c r="W261" s="103">
        <v>245</v>
      </c>
      <c r="X261" s="103"/>
      <c r="Y261" s="103"/>
      <c r="Z261" s="103"/>
      <c r="AA261" s="103">
        <v>389</v>
      </c>
      <c r="AB261" s="103"/>
      <c r="AC261" s="103"/>
      <c r="AD261" s="103"/>
      <c r="AE261" s="103"/>
      <c r="AF261" s="103"/>
      <c r="AG261" s="103"/>
      <c r="AH261" s="103"/>
      <c r="AI261" s="103"/>
      <c r="AJ261" s="103"/>
      <c r="AK261" s="103"/>
      <c r="AL261" s="103"/>
      <c r="AM261" s="103">
        <v>235</v>
      </c>
      <c r="AN261" s="103"/>
      <c r="AO261" s="103"/>
      <c r="AP261" s="103">
        <v>209</v>
      </c>
      <c r="AQ261" s="103">
        <v>425</v>
      </c>
      <c r="AR261" s="103"/>
      <c r="AS261" s="103"/>
      <c r="AT261" s="103"/>
      <c r="AU261" s="103"/>
      <c r="AV261" s="103"/>
      <c r="AW261" s="104" t="str">
        <f>HYPERLINK("http://www.openstreetmap.org/?mlat=33.4163&amp;mlon=43.27&amp;zoom=12#map=12/33.4163/43.27","Maplink1")</f>
        <v>Maplink1</v>
      </c>
      <c r="AX261" s="104" t="str">
        <f>HYPERLINK("https://www.google.iq/maps/search/+33.4163,43.27/@33.4163,43.27,14z?hl=en","Maplink2")</f>
        <v>Maplink2</v>
      </c>
      <c r="AY261" s="104" t="str">
        <f>HYPERLINK("http://www.bing.com/maps/?lvl=14&amp;sty=h&amp;cp=33.4163~43.27&amp;sp=point.33.4163_43.27","Maplink3")</f>
        <v>Maplink3</v>
      </c>
    </row>
    <row r="262" spans="1:51" x14ac:dyDescent="0.2">
      <c r="A262" s="102">
        <v>29486</v>
      </c>
      <c r="B262" s="103" t="s">
        <v>29</v>
      </c>
      <c r="C262" s="103" t="s">
        <v>83</v>
      </c>
      <c r="D262" s="103" t="s">
        <v>289</v>
      </c>
      <c r="E262" s="103" t="s">
        <v>720</v>
      </c>
      <c r="F262" s="103">
        <v>33.414079999999998</v>
      </c>
      <c r="G262" s="103">
        <v>43.291263748900001</v>
      </c>
      <c r="H262" s="102">
        <v>1506</v>
      </c>
      <c r="I262" s="102">
        <v>9036</v>
      </c>
      <c r="J262" s="103"/>
      <c r="K262" s="103"/>
      <c r="L262" s="103"/>
      <c r="M262" s="103">
        <v>1427</v>
      </c>
      <c r="N262" s="103">
        <v>79</v>
      </c>
      <c r="O262" s="103"/>
      <c r="P262" s="103"/>
      <c r="Q262" s="103"/>
      <c r="R262" s="103"/>
      <c r="S262" s="103"/>
      <c r="T262" s="103"/>
      <c r="U262" s="103">
        <v>853</v>
      </c>
      <c r="V262" s="103">
        <v>335</v>
      </c>
      <c r="W262" s="103">
        <v>118</v>
      </c>
      <c r="X262" s="103"/>
      <c r="Y262" s="103"/>
      <c r="Z262" s="103"/>
      <c r="AA262" s="103">
        <v>120</v>
      </c>
      <c r="AB262" s="103"/>
      <c r="AC262" s="103">
        <v>80</v>
      </c>
      <c r="AD262" s="103"/>
      <c r="AE262" s="103"/>
      <c r="AF262" s="103"/>
      <c r="AG262" s="103"/>
      <c r="AH262" s="103"/>
      <c r="AI262" s="103"/>
      <c r="AJ262" s="103"/>
      <c r="AK262" s="103"/>
      <c r="AL262" s="103"/>
      <c r="AM262" s="103">
        <v>315</v>
      </c>
      <c r="AN262" s="103">
        <v>747</v>
      </c>
      <c r="AO262" s="103"/>
      <c r="AP262" s="103">
        <v>236</v>
      </c>
      <c r="AQ262" s="103">
        <v>208</v>
      </c>
      <c r="AR262" s="103"/>
      <c r="AS262" s="103"/>
      <c r="AT262" s="103"/>
      <c r="AU262" s="103"/>
      <c r="AV262" s="103"/>
      <c r="AW262" s="104" t="str">
        <f>HYPERLINK("http://www.openstreetmap.org/?mlat=33.4141&amp;mlon=43.2913&amp;zoom=12#map=12/33.4141/43.2913","Maplink1")</f>
        <v>Maplink1</v>
      </c>
      <c r="AX262" s="104" t="str">
        <f>HYPERLINK("https://www.google.iq/maps/search/+33.4141,43.2913/@33.4141,43.2913,14z?hl=en","Maplink2")</f>
        <v>Maplink2</v>
      </c>
      <c r="AY262" s="104" t="str">
        <f>HYPERLINK("http://www.bing.com/maps/?lvl=14&amp;sty=h&amp;cp=33.4141~43.2913&amp;sp=point.33.4141_43.2913","Maplink3")</f>
        <v>Maplink3</v>
      </c>
    </row>
    <row r="263" spans="1:51" x14ac:dyDescent="0.2">
      <c r="A263" s="102">
        <v>33961</v>
      </c>
      <c r="B263" s="103" t="s">
        <v>29</v>
      </c>
      <c r="C263" s="103" t="s">
        <v>83</v>
      </c>
      <c r="D263" s="103" t="s">
        <v>705</v>
      </c>
      <c r="E263" s="103" t="s">
        <v>706</v>
      </c>
      <c r="F263" s="103">
        <v>33.422894999999997</v>
      </c>
      <c r="G263" s="103">
        <v>43.296548000000001</v>
      </c>
      <c r="H263" s="102">
        <v>120</v>
      </c>
      <c r="I263" s="102">
        <v>720</v>
      </c>
      <c r="J263" s="103"/>
      <c r="K263" s="103"/>
      <c r="L263" s="103"/>
      <c r="M263" s="103">
        <v>120</v>
      </c>
      <c r="N263" s="103"/>
      <c r="O263" s="103"/>
      <c r="P263" s="103"/>
      <c r="Q263" s="103"/>
      <c r="R263" s="103"/>
      <c r="S263" s="103"/>
      <c r="T263" s="103"/>
      <c r="U263" s="103"/>
      <c r="V263" s="103"/>
      <c r="W263" s="103">
        <v>40</v>
      </c>
      <c r="X263" s="103"/>
      <c r="Y263" s="103"/>
      <c r="Z263" s="103"/>
      <c r="AA263" s="103">
        <v>40</v>
      </c>
      <c r="AB263" s="103"/>
      <c r="AC263" s="103"/>
      <c r="AD263" s="103"/>
      <c r="AE263" s="103"/>
      <c r="AF263" s="103"/>
      <c r="AG263" s="103"/>
      <c r="AH263" s="103"/>
      <c r="AI263" s="103"/>
      <c r="AJ263" s="103">
        <v>40</v>
      </c>
      <c r="AK263" s="103"/>
      <c r="AL263" s="103"/>
      <c r="AM263" s="103">
        <v>120</v>
      </c>
      <c r="AN263" s="103"/>
      <c r="AO263" s="103"/>
      <c r="AP263" s="103"/>
      <c r="AQ263" s="103"/>
      <c r="AR263" s="103"/>
      <c r="AS263" s="103"/>
      <c r="AT263" s="103"/>
      <c r="AU263" s="103"/>
      <c r="AV263" s="103"/>
      <c r="AW263" s="104" t="str">
        <f>HYPERLINK("http://www.openstreetmap.org/?mlat=33.4229&amp;mlon=43.2965&amp;zoom=12#map=12/33.4229/43.2965","Maplink1")</f>
        <v>Maplink1</v>
      </c>
      <c r="AX263" s="104" t="str">
        <f>HYPERLINK("https://www.google.iq/maps/search/+33.4229,43.2965/@33.4229,43.2965,14z?hl=en","Maplink2")</f>
        <v>Maplink2</v>
      </c>
      <c r="AY263" s="104" t="str">
        <f>HYPERLINK("http://www.bing.com/maps/?lvl=14&amp;sty=h&amp;cp=33.4229~43.2965&amp;sp=point.33.4229_43.2965","Maplink3")</f>
        <v>Maplink3</v>
      </c>
    </row>
    <row r="264" spans="1:51" x14ac:dyDescent="0.2">
      <c r="A264" s="102">
        <v>33962</v>
      </c>
      <c r="B264" s="103" t="s">
        <v>29</v>
      </c>
      <c r="C264" s="103" t="s">
        <v>83</v>
      </c>
      <c r="D264" s="103" t="s">
        <v>707</v>
      </c>
      <c r="E264" s="103" t="s">
        <v>708</v>
      </c>
      <c r="F264" s="103">
        <v>33.414285999999997</v>
      </c>
      <c r="G264" s="103">
        <v>43.210979000000002</v>
      </c>
      <c r="H264" s="102">
        <v>230</v>
      </c>
      <c r="I264" s="102">
        <v>1380</v>
      </c>
      <c r="J264" s="103"/>
      <c r="K264" s="103"/>
      <c r="L264" s="103"/>
      <c r="M264" s="103">
        <v>230</v>
      </c>
      <c r="N264" s="103"/>
      <c r="O264" s="103"/>
      <c r="P264" s="103"/>
      <c r="Q264" s="103"/>
      <c r="R264" s="103"/>
      <c r="S264" s="103"/>
      <c r="T264" s="103"/>
      <c r="U264" s="103">
        <v>76</v>
      </c>
      <c r="V264" s="103">
        <v>40</v>
      </c>
      <c r="W264" s="103">
        <v>87</v>
      </c>
      <c r="X264" s="103"/>
      <c r="Y264" s="103"/>
      <c r="Z264" s="103"/>
      <c r="AA264" s="103"/>
      <c r="AB264" s="103"/>
      <c r="AC264" s="103"/>
      <c r="AD264" s="103"/>
      <c r="AE264" s="103"/>
      <c r="AF264" s="103"/>
      <c r="AG264" s="103"/>
      <c r="AH264" s="103"/>
      <c r="AI264" s="103"/>
      <c r="AJ264" s="103">
        <v>27</v>
      </c>
      <c r="AK264" s="103"/>
      <c r="AL264" s="103"/>
      <c r="AM264" s="103">
        <v>230</v>
      </c>
      <c r="AN264" s="103"/>
      <c r="AO264" s="103"/>
      <c r="AP264" s="103"/>
      <c r="AQ264" s="103"/>
      <c r="AR264" s="103"/>
      <c r="AS264" s="103"/>
      <c r="AT264" s="103"/>
      <c r="AU264" s="103"/>
      <c r="AV264" s="103"/>
      <c r="AW264" s="104" t="str">
        <f>HYPERLINK("http://www.openstreetmap.org/?mlat=33.4143&amp;mlon=43.211&amp;zoom=12#map=12/33.4143/43.211","Maplink1")</f>
        <v>Maplink1</v>
      </c>
      <c r="AX264" s="104" t="str">
        <f>HYPERLINK("https://www.google.iq/maps/search/+33.4143,43.211/@33.4143,43.211,14z?hl=en","Maplink2")</f>
        <v>Maplink2</v>
      </c>
      <c r="AY264" s="104" t="str">
        <f>HYPERLINK("http://www.bing.com/maps/?lvl=14&amp;sty=h&amp;cp=33.4143~43.211&amp;sp=point.33.4143_43.211","Maplink3")</f>
        <v>Maplink3</v>
      </c>
    </row>
    <row r="265" spans="1:51" x14ac:dyDescent="0.2">
      <c r="A265" s="102">
        <v>33684</v>
      </c>
      <c r="B265" s="103" t="s">
        <v>29</v>
      </c>
      <c r="C265" s="103" t="s">
        <v>83</v>
      </c>
      <c r="D265" s="103" t="s">
        <v>695</v>
      </c>
      <c r="E265" s="103" t="s">
        <v>696</v>
      </c>
      <c r="F265" s="103">
        <v>33.446950000000001</v>
      </c>
      <c r="G265" s="103">
        <v>43.467722933600001</v>
      </c>
      <c r="H265" s="102">
        <v>474</v>
      </c>
      <c r="I265" s="102">
        <v>2844</v>
      </c>
      <c r="J265" s="103"/>
      <c r="K265" s="103"/>
      <c r="L265" s="103"/>
      <c r="M265" s="103">
        <v>430</v>
      </c>
      <c r="N265" s="103">
        <v>44</v>
      </c>
      <c r="O265" s="103"/>
      <c r="P265" s="103"/>
      <c r="Q265" s="103"/>
      <c r="R265" s="103"/>
      <c r="S265" s="103"/>
      <c r="T265" s="103"/>
      <c r="U265" s="103">
        <v>217</v>
      </c>
      <c r="V265" s="103"/>
      <c r="W265" s="103">
        <v>80</v>
      </c>
      <c r="X265" s="103"/>
      <c r="Y265" s="103"/>
      <c r="Z265" s="103"/>
      <c r="AA265" s="103">
        <v>177</v>
      </c>
      <c r="AB265" s="103"/>
      <c r="AC265" s="103"/>
      <c r="AD265" s="103"/>
      <c r="AE265" s="103"/>
      <c r="AF265" s="103"/>
      <c r="AG265" s="103"/>
      <c r="AH265" s="103"/>
      <c r="AI265" s="103"/>
      <c r="AJ265" s="103"/>
      <c r="AK265" s="103"/>
      <c r="AL265" s="103"/>
      <c r="AM265" s="103">
        <v>42</v>
      </c>
      <c r="AN265" s="103">
        <v>80</v>
      </c>
      <c r="AO265" s="103"/>
      <c r="AP265" s="103">
        <v>133</v>
      </c>
      <c r="AQ265" s="103">
        <v>184</v>
      </c>
      <c r="AR265" s="103">
        <v>35</v>
      </c>
      <c r="AS265" s="103"/>
      <c r="AT265" s="103"/>
      <c r="AU265" s="103"/>
      <c r="AV265" s="103"/>
      <c r="AW265" s="104" t="str">
        <f>HYPERLINK("http://www.openstreetmap.org/?mlat=33.447&amp;mlon=43.4677&amp;zoom=12#map=12/33.447/43.4677","Maplink1")</f>
        <v>Maplink1</v>
      </c>
      <c r="AX265" s="104" t="str">
        <f>HYPERLINK("https://www.google.iq/maps/search/+33.447,43.4677/@33.447,43.4677,14z?hl=en","Maplink2")</f>
        <v>Maplink2</v>
      </c>
      <c r="AY265" s="104" t="str">
        <f>HYPERLINK("http://www.bing.com/maps/?lvl=14&amp;sty=h&amp;cp=33.447~43.4677&amp;sp=point.33.447_43.4677","Maplink3")</f>
        <v>Maplink3</v>
      </c>
    </row>
    <row r="266" spans="1:51" x14ac:dyDescent="0.2">
      <c r="A266" s="102">
        <v>188</v>
      </c>
      <c r="B266" s="103" t="s">
        <v>29</v>
      </c>
      <c r="C266" s="103" t="s">
        <v>83</v>
      </c>
      <c r="D266" s="103" t="s">
        <v>697</v>
      </c>
      <c r="E266" s="103" t="s">
        <v>698</v>
      </c>
      <c r="F266" s="103">
        <v>33.225200000000001</v>
      </c>
      <c r="G266" s="103">
        <v>43.3217</v>
      </c>
      <c r="H266" s="102">
        <v>285</v>
      </c>
      <c r="I266" s="102">
        <v>1710</v>
      </c>
      <c r="J266" s="103"/>
      <c r="K266" s="103"/>
      <c r="L266" s="103"/>
      <c r="M266" s="103">
        <v>285</v>
      </c>
      <c r="N266" s="103"/>
      <c r="O266" s="103"/>
      <c r="P266" s="103"/>
      <c r="Q266" s="103"/>
      <c r="R266" s="103"/>
      <c r="S266" s="103"/>
      <c r="T266" s="103"/>
      <c r="U266" s="103">
        <v>120</v>
      </c>
      <c r="V266" s="103"/>
      <c r="W266" s="103">
        <v>60</v>
      </c>
      <c r="X266" s="103"/>
      <c r="Y266" s="103"/>
      <c r="Z266" s="103"/>
      <c r="AA266" s="103">
        <v>50</v>
      </c>
      <c r="AB266" s="103"/>
      <c r="AC266" s="103"/>
      <c r="AD266" s="103"/>
      <c r="AE266" s="103"/>
      <c r="AF266" s="103"/>
      <c r="AG266" s="103"/>
      <c r="AH266" s="103"/>
      <c r="AI266" s="103"/>
      <c r="AJ266" s="103">
        <v>55</v>
      </c>
      <c r="AK266" s="103"/>
      <c r="AL266" s="103"/>
      <c r="AM266" s="103"/>
      <c r="AN266" s="103"/>
      <c r="AO266" s="103"/>
      <c r="AP266" s="103"/>
      <c r="AQ266" s="103">
        <v>285</v>
      </c>
      <c r="AR266" s="103"/>
      <c r="AS266" s="103"/>
      <c r="AT266" s="103"/>
      <c r="AU266" s="103"/>
      <c r="AV266" s="103"/>
      <c r="AW266" s="104" t="str">
        <f>HYPERLINK("http://www.openstreetmap.org/?mlat=33.2252&amp;mlon=43.3217&amp;zoom=12#map=12/33.2252/43.3217","Maplink1")</f>
        <v>Maplink1</v>
      </c>
      <c r="AX266" s="104" t="str">
        <f>HYPERLINK("https://www.google.iq/maps/search/+33.2252,43.3217/@33.2252,43.3217,14z?hl=en","Maplink2")</f>
        <v>Maplink2</v>
      </c>
      <c r="AY266" s="104" t="str">
        <f>HYPERLINK("http://www.bing.com/maps/?lvl=14&amp;sty=h&amp;cp=33.2252~43.3217&amp;sp=point.33.2252_43.3217","Maplink3")</f>
        <v>Maplink3</v>
      </c>
    </row>
    <row r="267" spans="1:51" x14ac:dyDescent="0.2">
      <c r="A267" s="102">
        <v>181</v>
      </c>
      <c r="B267" s="103" t="s">
        <v>29</v>
      </c>
      <c r="C267" s="103" t="s">
        <v>83</v>
      </c>
      <c r="D267" s="103" t="s">
        <v>681</v>
      </c>
      <c r="E267" s="103" t="s">
        <v>682</v>
      </c>
      <c r="F267" s="103">
        <v>33.407637283100001</v>
      </c>
      <c r="G267" s="103">
        <v>43.286967681599997</v>
      </c>
      <c r="H267" s="102">
        <v>2514</v>
      </c>
      <c r="I267" s="102">
        <v>15084</v>
      </c>
      <c r="J267" s="103"/>
      <c r="K267" s="103"/>
      <c r="L267" s="103">
        <v>71</v>
      </c>
      <c r="M267" s="103">
        <v>2440</v>
      </c>
      <c r="N267" s="103">
        <v>3</v>
      </c>
      <c r="O267" s="103"/>
      <c r="P267" s="103"/>
      <c r="Q267" s="103"/>
      <c r="R267" s="103"/>
      <c r="S267" s="103"/>
      <c r="T267" s="103"/>
      <c r="U267" s="103">
        <v>446</v>
      </c>
      <c r="V267" s="103"/>
      <c r="W267" s="103">
        <v>890</v>
      </c>
      <c r="X267" s="103"/>
      <c r="Y267" s="103"/>
      <c r="Z267" s="103"/>
      <c r="AA267" s="103">
        <v>445</v>
      </c>
      <c r="AB267" s="103"/>
      <c r="AC267" s="103">
        <v>435</v>
      </c>
      <c r="AD267" s="103"/>
      <c r="AE267" s="103"/>
      <c r="AF267" s="103"/>
      <c r="AG267" s="103"/>
      <c r="AH267" s="103"/>
      <c r="AI267" s="103"/>
      <c r="AJ267" s="103">
        <v>298</v>
      </c>
      <c r="AK267" s="103"/>
      <c r="AL267" s="103"/>
      <c r="AM267" s="103">
        <v>637</v>
      </c>
      <c r="AN267" s="103">
        <v>371</v>
      </c>
      <c r="AO267" s="103"/>
      <c r="AP267" s="103">
        <v>853</v>
      </c>
      <c r="AQ267" s="103">
        <v>653</v>
      </c>
      <c r="AR267" s="103"/>
      <c r="AS267" s="103"/>
      <c r="AT267" s="103"/>
      <c r="AU267" s="103"/>
      <c r="AV267" s="103"/>
      <c r="AW267" s="104" t="str">
        <f>HYPERLINK("http://www.openstreetmap.org/?mlat=33.4076&amp;mlon=43.287&amp;zoom=12#map=12/33.4076/43.287","Maplink1")</f>
        <v>Maplink1</v>
      </c>
      <c r="AX267" s="104" t="str">
        <f>HYPERLINK("https://www.google.iq/maps/search/+33.4076,43.287/@33.4076,43.287,14z?hl=en","Maplink2")</f>
        <v>Maplink2</v>
      </c>
      <c r="AY267" s="104" t="str">
        <f>HYPERLINK("http://www.bing.com/maps/?lvl=14&amp;sty=h&amp;cp=33.4076~43.287&amp;sp=point.33.4076_43.287","Maplink3")</f>
        <v>Maplink3</v>
      </c>
    </row>
    <row r="268" spans="1:51" x14ac:dyDescent="0.2">
      <c r="A268" s="102">
        <v>117</v>
      </c>
      <c r="B268" s="103" t="s">
        <v>29</v>
      </c>
      <c r="C268" s="103" t="s">
        <v>83</v>
      </c>
      <c r="D268" s="103" t="s">
        <v>683</v>
      </c>
      <c r="E268" s="103" t="s">
        <v>684</v>
      </c>
      <c r="F268" s="103">
        <v>33.42671</v>
      </c>
      <c r="G268" s="103">
        <v>43.296696634500002</v>
      </c>
      <c r="H268" s="102">
        <v>2084</v>
      </c>
      <c r="I268" s="102">
        <v>12504</v>
      </c>
      <c r="J268" s="103"/>
      <c r="K268" s="103"/>
      <c r="L268" s="103">
        <v>41</v>
      </c>
      <c r="M268" s="103">
        <v>1997</v>
      </c>
      <c r="N268" s="103">
        <v>46</v>
      </c>
      <c r="O268" s="103"/>
      <c r="P268" s="103"/>
      <c r="Q268" s="103"/>
      <c r="R268" s="103"/>
      <c r="S268" s="103"/>
      <c r="T268" s="103"/>
      <c r="U268" s="103">
        <v>824</v>
      </c>
      <c r="V268" s="103"/>
      <c r="W268" s="103">
        <v>707</v>
      </c>
      <c r="X268" s="103"/>
      <c r="Y268" s="103"/>
      <c r="Z268" s="103"/>
      <c r="AA268" s="103">
        <v>168</v>
      </c>
      <c r="AB268" s="103"/>
      <c r="AC268" s="103">
        <v>304</v>
      </c>
      <c r="AD268" s="103"/>
      <c r="AE268" s="103"/>
      <c r="AF268" s="103"/>
      <c r="AG268" s="103"/>
      <c r="AH268" s="103"/>
      <c r="AI268" s="103"/>
      <c r="AJ268" s="103">
        <v>81</v>
      </c>
      <c r="AK268" s="103"/>
      <c r="AL268" s="103"/>
      <c r="AM268" s="103">
        <v>221</v>
      </c>
      <c r="AN268" s="103">
        <v>134</v>
      </c>
      <c r="AO268" s="103"/>
      <c r="AP268" s="103">
        <v>205</v>
      </c>
      <c r="AQ268" s="103">
        <v>1524</v>
      </c>
      <c r="AR268" s="103"/>
      <c r="AS268" s="103"/>
      <c r="AT268" s="103"/>
      <c r="AU268" s="103"/>
      <c r="AV268" s="103"/>
      <c r="AW268" s="104" t="str">
        <f>HYPERLINK("http://www.openstreetmap.org/?mlat=33.4267&amp;mlon=43.2967&amp;zoom=12#map=12/33.4267/43.2967","Maplink1")</f>
        <v>Maplink1</v>
      </c>
      <c r="AX268" s="104" t="str">
        <f>HYPERLINK("https://www.google.iq/maps/search/+33.4267,43.2967/@33.4267,43.2967,14z?hl=en","Maplink2")</f>
        <v>Maplink2</v>
      </c>
      <c r="AY268" s="104" t="str">
        <f>HYPERLINK("http://www.bing.com/maps/?lvl=14&amp;sty=h&amp;cp=33.4267~43.2967&amp;sp=point.33.4267_43.2967","Maplink3")</f>
        <v>Maplink3</v>
      </c>
    </row>
    <row r="269" spans="1:51" x14ac:dyDescent="0.2">
      <c r="A269" s="102">
        <v>185</v>
      </c>
      <c r="B269" s="103" t="s">
        <v>29</v>
      </c>
      <c r="C269" s="103" t="s">
        <v>83</v>
      </c>
      <c r="D269" s="103" t="s">
        <v>685</v>
      </c>
      <c r="E269" s="103" t="s">
        <v>686</v>
      </c>
      <c r="F269" s="103">
        <v>33.429220000000001</v>
      </c>
      <c r="G269" s="103">
        <v>43.313777238100002</v>
      </c>
      <c r="H269" s="102">
        <v>2369</v>
      </c>
      <c r="I269" s="102">
        <v>14214</v>
      </c>
      <c r="J269" s="103"/>
      <c r="K269" s="103"/>
      <c r="L269" s="103">
        <v>35</v>
      </c>
      <c r="M269" s="103">
        <v>2279</v>
      </c>
      <c r="N269" s="103">
        <v>55</v>
      </c>
      <c r="O269" s="103"/>
      <c r="P269" s="103"/>
      <c r="Q269" s="103"/>
      <c r="R269" s="103"/>
      <c r="S269" s="103"/>
      <c r="T269" s="103"/>
      <c r="U269" s="103">
        <v>1148</v>
      </c>
      <c r="V269" s="103"/>
      <c r="W269" s="103">
        <v>514</v>
      </c>
      <c r="X269" s="103"/>
      <c r="Y269" s="103"/>
      <c r="Z269" s="103"/>
      <c r="AA269" s="103">
        <v>570</v>
      </c>
      <c r="AB269" s="103"/>
      <c r="AC269" s="103">
        <v>137</v>
      </c>
      <c r="AD269" s="103"/>
      <c r="AE269" s="103"/>
      <c r="AF269" s="103"/>
      <c r="AG269" s="103"/>
      <c r="AH269" s="103"/>
      <c r="AI269" s="103"/>
      <c r="AJ269" s="103"/>
      <c r="AK269" s="103"/>
      <c r="AL269" s="103"/>
      <c r="AM269" s="103">
        <v>995</v>
      </c>
      <c r="AN269" s="103">
        <v>239</v>
      </c>
      <c r="AO269" s="103"/>
      <c r="AP269" s="103">
        <v>648</v>
      </c>
      <c r="AQ269" s="103">
        <v>305</v>
      </c>
      <c r="AR269" s="103">
        <v>182</v>
      </c>
      <c r="AS269" s="103"/>
      <c r="AT269" s="103"/>
      <c r="AU269" s="103"/>
      <c r="AV269" s="103"/>
      <c r="AW269" s="104" t="str">
        <f>HYPERLINK("http://www.openstreetmap.org/?mlat=33.4292&amp;mlon=43.3138&amp;zoom=12#map=12/33.4292/43.3138","Maplink1")</f>
        <v>Maplink1</v>
      </c>
      <c r="AX269" s="104" t="str">
        <f>HYPERLINK("https://www.google.iq/maps/search/+33.4292,43.3138/@33.4292,43.3138,14z?hl=en","Maplink2")</f>
        <v>Maplink2</v>
      </c>
      <c r="AY269" s="104" t="str">
        <f>HYPERLINK("http://www.bing.com/maps/?lvl=14&amp;sty=h&amp;cp=33.4292~43.3138&amp;sp=point.33.4292_43.3138","Maplink3")</f>
        <v>Maplink3</v>
      </c>
    </row>
    <row r="270" spans="1:51" x14ac:dyDescent="0.2">
      <c r="A270" s="102">
        <v>29580</v>
      </c>
      <c r="B270" s="103" t="s">
        <v>29</v>
      </c>
      <c r="C270" s="103" t="s">
        <v>83</v>
      </c>
      <c r="D270" s="103" t="s">
        <v>687</v>
      </c>
      <c r="E270" s="103" t="s">
        <v>688</v>
      </c>
      <c r="F270" s="103">
        <v>33.421889999999998</v>
      </c>
      <c r="G270" s="103">
        <v>43.290458644399997</v>
      </c>
      <c r="H270" s="102">
        <v>2088</v>
      </c>
      <c r="I270" s="102">
        <v>12528</v>
      </c>
      <c r="J270" s="103"/>
      <c r="K270" s="103"/>
      <c r="L270" s="103">
        <v>125</v>
      </c>
      <c r="M270" s="103">
        <v>1941</v>
      </c>
      <c r="N270" s="103">
        <v>22</v>
      </c>
      <c r="O270" s="103"/>
      <c r="P270" s="103"/>
      <c r="Q270" s="103"/>
      <c r="R270" s="103"/>
      <c r="S270" s="103"/>
      <c r="T270" s="103"/>
      <c r="U270" s="103">
        <v>408</v>
      </c>
      <c r="V270" s="103">
        <v>251</v>
      </c>
      <c r="W270" s="103">
        <v>501</v>
      </c>
      <c r="X270" s="103"/>
      <c r="Y270" s="103"/>
      <c r="Z270" s="103"/>
      <c r="AA270" s="103">
        <v>515</v>
      </c>
      <c r="AB270" s="103"/>
      <c r="AC270" s="103">
        <v>22</v>
      </c>
      <c r="AD270" s="103"/>
      <c r="AE270" s="103"/>
      <c r="AF270" s="103"/>
      <c r="AG270" s="103"/>
      <c r="AH270" s="103"/>
      <c r="AI270" s="103"/>
      <c r="AJ270" s="103">
        <v>391</v>
      </c>
      <c r="AK270" s="103"/>
      <c r="AL270" s="103"/>
      <c r="AM270" s="103">
        <v>273</v>
      </c>
      <c r="AN270" s="103">
        <v>222</v>
      </c>
      <c r="AO270" s="103"/>
      <c r="AP270" s="103">
        <v>706</v>
      </c>
      <c r="AQ270" s="103">
        <v>887</v>
      </c>
      <c r="AR270" s="103"/>
      <c r="AS270" s="103"/>
      <c r="AT270" s="103"/>
      <c r="AU270" s="103"/>
      <c r="AV270" s="103"/>
      <c r="AW270" s="104" t="str">
        <f>HYPERLINK("http://www.openstreetmap.org/?mlat=33.4219&amp;mlon=43.2905&amp;zoom=12#map=12/33.4219/43.2905","Maplink1")</f>
        <v>Maplink1</v>
      </c>
      <c r="AX270" s="104" t="str">
        <f>HYPERLINK("https://www.google.iq/maps/search/+33.4219,43.2905/@33.4219,43.2905,14z?hl=en","Maplink2")</f>
        <v>Maplink2</v>
      </c>
      <c r="AY270" s="104" t="str">
        <f>HYPERLINK("http://www.bing.com/maps/?lvl=14&amp;sty=h&amp;cp=33.4219~43.2905&amp;sp=point.33.4219_43.2905","Maplink3")</f>
        <v>Maplink3</v>
      </c>
    </row>
    <row r="271" spans="1:51" x14ac:dyDescent="0.2">
      <c r="A271" s="102">
        <v>21404</v>
      </c>
      <c r="B271" s="103" t="s">
        <v>29</v>
      </c>
      <c r="C271" s="103" t="s">
        <v>83</v>
      </c>
      <c r="D271" s="103" t="s">
        <v>689</v>
      </c>
      <c r="E271" s="103" t="s">
        <v>690</v>
      </c>
      <c r="F271" s="103">
        <v>33.528886</v>
      </c>
      <c r="G271" s="103">
        <v>43.110714999999999</v>
      </c>
      <c r="H271" s="102">
        <v>1223</v>
      </c>
      <c r="I271" s="102">
        <v>7338</v>
      </c>
      <c r="J271" s="103"/>
      <c r="K271" s="103"/>
      <c r="L271" s="103">
        <v>220</v>
      </c>
      <c r="M271" s="103">
        <v>1003</v>
      </c>
      <c r="N271" s="103"/>
      <c r="O271" s="103"/>
      <c r="P271" s="103"/>
      <c r="Q271" s="103"/>
      <c r="R271" s="103"/>
      <c r="S271" s="103"/>
      <c r="T271" s="103"/>
      <c r="U271" s="103">
        <v>270</v>
      </c>
      <c r="V271" s="103">
        <v>301</v>
      </c>
      <c r="W271" s="103">
        <v>260</v>
      </c>
      <c r="X271" s="103"/>
      <c r="Y271" s="103"/>
      <c r="Z271" s="103"/>
      <c r="AA271" s="103"/>
      <c r="AB271" s="103"/>
      <c r="AC271" s="103">
        <v>90</v>
      </c>
      <c r="AD271" s="103"/>
      <c r="AE271" s="103"/>
      <c r="AF271" s="103"/>
      <c r="AG271" s="103"/>
      <c r="AH271" s="103"/>
      <c r="AI271" s="103"/>
      <c r="AJ271" s="103">
        <v>302</v>
      </c>
      <c r="AK271" s="103"/>
      <c r="AL271" s="103"/>
      <c r="AM271" s="103">
        <v>1223</v>
      </c>
      <c r="AN271" s="103"/>
      <c r="AO271" s="103"/>
      <c r="AP271" s="103"/>
      <c r="AQ271" s="103"/>
      <c r="AR271" s="103"/>
      <c r="AS271" s="103"/>
      <c r="AT271" s="103"/>
      <c r="AU271" s="103"/>
      <c r="AV271" s="103"/>
      <c r="AW271" s="104" t="str">
        <f>HYPERLINK("http://www.openstreetmap.org/?mlat=33.5289&amp;mlon=43.1107&amp;zoom=12#map=12/33.5289/43.1107","Maplink1")</f>
        <v>Maplink1</v>
      </c>
      <c r="AX271" s="104" t="str">
        <f>HYPERLINK("https://www.google.iq/maps/search/+33.5289,43.1107/@33.5289,43.1107,14z?hl=en","Maplink2")</f>
        <v>Maplink2</v>
      </c>
      <c r="AY271" s="104" t="str">
        <f>HYPERLINK("http://www.bing.com/maps/?lvl=14&amp;sty=h&amp;cp=33.5289~43.1107&amp;sp=point.33.5289_43.1107","Maplink3")</f>
        <v>Maplink3</v>
      </c>
    </row>
    <row r="272" spans="1:51" x14ac:dyDescent="0.2">
      <c r="A272" s="102">
        <v>115</v>
      </c>
      <c r="B272" s="103" t="s">
        <v>29</v>
      </c>
      <c r="C272" s="103" t="s">
        <v>83</v>
      </c>
      <c r="D272" s="103" t="s">
        <v>691</v>
      </c>
      <c r="E272" s="103" t="s">
        <v>692</v>
      </c>
      <c r="F272" s="103">
        <v>33.440310664400002</v>
      </c>
      <c r="G272" s="103">
        <v>43.321961214700003</v>
      </c>
      <c r="H272" s="102">
        <v>1807</v>
      </c>
      <c r="I272" s="102">
        <v>10842</v>
      </c>
      <c r="J272" s="103"/>
      <c r="K272" s="103"/>
      <c r="L272" s="103">
        <v>163</v>
      </c>
      <c r="M272" s="103">
        <v>1617</v>
      </c>
      <c r="N272" s="103">
        <v>27</v>
      </c>
      <c r="O272" s="103"/>
      <c r="P272" s="103"/>
      <c r="Q272" s="103"/>
      <c r="R272" s="103"/>
      <c r="S272" s="103"/>
      <c r="T272" s="103"/>
      <c r="U272" s="103">
        <v>881</v>
      </c>
      <c r="V272" s="103"/>
      <c r="W272" s="103">
        <v>214</v>
      </c>
      <c r="X272" s="103"/>
      <c r="Y272" s="103"/>
      <c r="Z272" s="103"/>
      <c r="AA272" s="103">
        <v>245</v>
      </c>
      <c r="AB272" s="103"/>
      <c r="AC272" s="103">
        <v>288</v>
      </c>
      <c r="AD272" s="103"/>
      <c r="AE272" s="103"/>
      <c r="AF272" s="103"/>
      <c r="AG272" s="103"/>
      <c r="AH272" s="103"/>
      <c r="AI272" s="103"/>
      <c r="AJ272" s="103">
        <v>179</v>
      </c>
      <c r="AK272" s="103"/>
      <c r="AL272" s="103"/>
      <c r="AM272" s="103">
        <v>313</v>
      </c>
      <c r="AN272" s="103">
        <v>235</v>
      </c>
      <c r="AO272" s="103"/>
      <c r="AP272" s="103">
        <v>396</v>
      </c>
      <c r="AQ272" s="103">
        <v>836</v>
      </c>
      <c r="AR272" s="103">
        <v>27</v>
      </c>
      <c r="AS272" s="103"/>
      <c r="AT272" s="103"/>
      <c r="AU272" s="103"/>
      <c r="AV272" s="103"/>
      <c r="AW272" s="104" t="str">
        <f>HYPERLINK("http://www.openstreetmap.org/?mlat=33.4403&amp;mlon=43.322&amp;zoom=12#map=12/33.4403/43.322","Maplink1")</f>
        <v>Maplink1</v>
      </c>
      <c r="AX272" s="104" t="str">
        <f>HYPERLINK("https://www.google.iq/maps/search/+33.4403,43.322/@33.4403,43.322,14z?hl=en","Maplink2")</f>
        <v>Maplink2</v>
      </c>
      <c r="AY272" s="104" t="str">
        <f>HYPERLINK("http://www.bing.com/maps/?lvl=14&amp;sty=h&amp;cp=33.4403~43.322&amp;sp=point.33.4403_43.322","Maplink3")</f>
        <v>Maplink3</v>
      </c>
    </row>
    <row r="273" spans="1:51" x14ac:dyDescent="0.2">
      <c r="A273" s="102">
        <v>311</v>
      </c>
      <c r="B273" s="103" t="s">
        <v>29</v>
      </c>
      <c r="C273" s="103" t="s">
        <v>83</v>
      </c>
      <c r="D273" s="103" t="s">
        <v>693</v>
      </c>
      <c r="E273" s="103" t="s">
        <v>694</v>
      </c>
      <c r="F273" s="103">
        <v>33.430529999999997</v>
      </c>
      <c r="G273" s="103">
        <v>43.293795971100003</v>
      </c>
      <c r="H273" s="102">
        <v>2346</v>
      </c>
      <c r="I273" s="102">
        <v>14076</v>
      </c>
      <c r="J273" s="103"/>
      <c r="K273" s="103"/>
      <c r="L273" s="103">
        <v>53</v>
      </c>
      <c r="M273" s="103">
        <v>2238</v>
      </c>
      <c r="N273" s="103">
        <v>55</v>
      </c>
      <c r="O273" s="103"/>
      <c r="P273" s="103"/>
      <c r="Q273" s="103"/>
      <c r="R273" s="103"/>
      <c r="S273" s="103"/>
      <c r="T273" s="103"/>
      <c r="U273" s="103">
        <v>1476</v>
      </c>
      <c r="V273" s="103"/>
      <c r="W273" s="103">
        <v>305</v>
      </c>
      <c r="X273" s="103"/>
      <c r="Y273" s="103"/>
      <c r="Z273" s="103"/>
      <c r="AA273" s="103"/>
      <c r="AB273" s="103"/>
      <c r="AC273" s="103">
        <v>512</v>
      </c>
      <c r="AD273" s="103"/>
      <c r="AE273" s="103"/>
      <c r="AF273" s="103"/>
      <c r="AG273" s="103"/>
      <c r="AH273" s="103"/>
      <c r="AI273" s="103"/>
      <c r="AJ273" s="103">
        <v>53</v>
      </c>
      <c r="AK273" s="103"/>
      <c r="AL273" s="103"/>
      <c r="AM273" s="103">
        <v>1237</v>
      </c>
      <c r="AN273" s="103">
        <v>351</v>
      </c>
      <c r="AO273" s="103"/>
      <c r="AP273" s="103">
        <v>441</v>
      </c>
      <c r="AQ273" s="103">
        <v>317</v>
      </c>
      <c r="AR273" s="103"/>
      <c r="AS273" s="103"/>
      <c r="AT273" s="103"/>
      <c r="AU273" s="103"/>
      <c r="AV273" s="103"/>
      <c r="AW273" s="104" t="str">
        <f>HYPERLINK("http://www.openstreetmap.org/?mlat=33.4305&amp;mlon=43.2938&amp;zoom=12#map=12/33.4305/43.2938","Maplink1")</f>
        <v>Maplink1</v>
      </c>
      <c r="AX273" s="104" t="str">
        <f>HYPERLINK("https://www.google.iq/maps/search/+33.4305,43.2938/@33.4305,43.2938,14z?hl=en","Maplink2")</f>
        <v>Maplink2</v>
      </c>
      <c r="AY273" s="104" t="str">
        <f>HYPERLINK("http://www.bing.com/maps/?lvl=14&amp;sty=h&amp;cp=33.4305~43.2938&amp;sp=point.33.4305_43.2938","Maplink3")</f>
        <v>Maplink3</v>
      </c>
    </row>
    <row r="274" spans="1:51" x14ac:dyDescent="0.2">
      <c r="A274" s="102">
        <v>25650</v>
      </c>
      <c r="B274" s="103" t="s">
        <v>29</v>
      </c>
      <c r="C274" s="103" t="s">
        <v>83</v>
      </c>
      <c r="D274" s="103" t="s">
        <v>623</v>
      </c>
      <c r="E274" s="103" t="s">
        <v>624</v>
      </c>
      <c r="F274" s="103">
        <v>33.411586</v>
      </c>
      <c r="G274" s="103">
        <v>43.246449229299998</v>
      </c>
      <c r="H274" s="102">
        <v>1702</v>
      </c>
      <c r="I274" s="102">
        <v>10212</v>
      </c>
      <c r="J274" s="103"/>
      <c r="K274" s="103"/>
      <c r="L274" s="103">
        <v>268</v>
      </c>
      <c r="M274" s="103">
        <v>1367</v>
      </c>
      <c r="N274" s="103">
        <v>67</v>
      </c>
      <c r="O274" s="103"/>
      <c r="P274" s="103"/>
      <c r="Q274" s="103"/>
      <c r="R274" s="103"/>
      <c r="S274" s="103"/>
      <c r="T274" s="103"/>
      <c r="U274" s="103">
        <v>952</v>
      </c>
      <c r="V274" s="103"/>
      <c r="W274" s="103">
        <v>635</v>
      </c>
      <c r="X274" s="103"/>
      <c r="Y274" s="103"/>
      <c r="Z274" s="103"/>
      <c r="AA274" s="103"/>
      <c r="AB274" s="103"/>
      <c r="AC274" s="103">
        <v>40</v>
      </c>
      <c r="AD274" s="103"/>
      <c r="AE274" s="103"/>
      <c r="AF274" s="103"/>
      <c r="AG274" s="103"/>
      <c r="AH274" s="103"/>
      <c r="AI274" s="103"/>
      <c r="AJ274" s="103">
        <v>75</v>
      </c>
      <c r="AK274" s="103"/>
      <c r="AL274" s="103"/>
      <c r="AM274" s="103">
        <v>542</v>
      </c>
      <c r="AN274" s="103"/>
      <c r="AO274" s="103"/>
      <c r="AP274" s="103">
        <v>205</v>
      </c>
      <c r="AQ274" s="103">
        <v>721</v>
      </c>
      <c r="AR274" s="103">
        <v>234</v>
      </c>
      <c r="AS274" s="103"/>
      <c r="AT274" s="103"/>
      <c r="AU274" s="103"/>
      <c r="AV274" s="103"/>
      <c r="AW274" s="104" t="str">
        <f>HYPERLINK("http://www.openstreetmap.org/?mlat=33.4116&amp;mlon=43.2464&amp;zoom=12#map=12/33.4116/43.2464","Maplink1")</f>
        <v>Maplink1</v>
      </c>
      <c r="AX274" s="104" t="str">
        <f>HYPERLINK("https://www.google.iq/maps/search/+33.4116,43.2464/@33.4116,43.2464,14z?hl=en","Maplink2")</f>
        <v>Maplink2</v>
      </c>
      <c r="AY274" s="104" t="str">
        <f>HYPERLINK("http://www.bing.com/maps/?lvl=14&amp;sty=h&amp;cp=33.4116~43.2464&amp;sp=point.33.4116_43.2464","Maplink3")</f>
        <v>Maplink3</v>
      </c>
    </row>
    <row r="275" spans="1:51" x14ac:dyDescent="0.2">
      <c r="A275" s="102">
        <v>21227</v>
      </c>
      <c r="B275" s="103" t="s">
        <v>29</v>
      </c>
      <c r="C275" s="103" t="s">
        <v>83</v>
      </c>
      <c r="D275" s="103" t="s">
        <v>735</v>
      </c>
      <c r="E275" s="103" t="s">
        <v>736</v>
      </c>
      <c r="F275" s="103">
        <v>33.4549516035</v>
      </c>
      <c r="G275" s="103">
        <v>43.2689756356</v>
      </c>
      <c r="H275" s="102">
        <v>500</v>
      </c>
      <c r="I275" s="102">
        <v>3000</v>
      </c>
      <c r="J275" s="103"/>
      <c r="K275" s="103"/>
      <c r="L275" s="103">
        <v>63</v>
      </c>
      <c r="M275" s="103">
        <v>437</v>
      </c>
      <c r="N275" s="103"/>
      <c r="O275" s="103"/>
      <c r="P275" s="103"/>
      <c r="Q275" s="103"/>
      <c r="R275" s="103"/>
      <c r="S275" s="103"/>
      <c r="T275" s="103"/>
      <c r="U275" s="103">
        <v>347</v>
      </c>
      <c r="V275" s="103"/>
      <c r="W275" s="103">
        <v>80</v>
      </c>
      <c r="X275" s="103"/>
      <c r="Y275" s="103"/>
      <c r="Z275" s="103"/>
      <c r="AA275" s="103">
        <v>43</v>
      </c>
      <c r="AB275" s="103"/>
      <c r="AC275" s="103">
        <v>30</v>
      </c>
      <c r="AD275" s="103"/>
      <c r="AE275" s="103"/>
      <c r="AF275" s="103"/>
      <c r="AG275" s="103"/>
      <c r="AH275" s="103"/>
      <c r="AI275" s="103"/>
      <c r="AJ275" s="103"/>
      <c r="AK275" s="103"/>
      <c r="AL275" s="103"/>
      <c r="AM275" s="103">
        <v>349</v>
      </c>
      <c r="AN275" s="103"/>
      <c r="AO275" s="103"/>
      <c r="AP275" s="103">
        <v>67</v>
      </c>
      <c r="AQ275" s="103">
        <v>84</v>
      </c>
      <c r="AR275" s="103"/>
      <c r="AS275" s="103"/>
      <c r="AT275" s="103"/>
      <c r="AU275" s="103"/>
      <c r="AV275" s="103"/>
      <c r="AW275" s="104" t="str">
        <f>HYPERLINK("http://www.openstreetmap.org/?mlat=33.455&amp;mlon=43.269&amp;zoom=12#map=12/33.455/43.269","Maplink1")</f>
        <v>Maplink1</v>
      </c>
      <c r="AX275" s="104" t="str">
        <f>HYPERLINK("https://www.google.iq/maps/search/+33.455,43.269/@33.455,43.269,14z?hl=en","Maplink2")</f>
        <v>Maplink2</v>
      </c>
      <c r="AY275" s="104" t="str">
        <f>HYPERLINK("http://www.bing.com/maps/?lvl=14&amp;sty=h&amp;cp=33.455~43.269&amp;sp=point.33.455_43.269","Maplink3")</f>
        <v>Maplink3</v>
      </c>
    </row>
    <row r="276" spans="1:51" x14ac:dyDescent="0.2">
      <c r="A276" s="102">
        <v>29476</v>
      </c>
      <c r="B276" s="103" t="s">
        <v>29</v>
      </c>
      <c r="C276" s="103" t="s">
        <v>83</v>
      </c>
      <c r="D276" s="103" t="s">
        <v>737</v>
      </c>
      <c r="E276" s="103" t="s">
        <v>738</v>
      </c>
      <c r="F276" s="103">
        <v>33.466479999999997</v>
      </c>
      <c r="G276" s="103">
        <v>43.064269624600001</v>
      </c>
      <c r="H276" s="102">
        <v>3799</v>
      </c>
      <c r="I276" s="102">
        <v>22794</v>
      </c>
      <c r="J276" s="103"/>
      <c r="K276" s="103"/>
      <c r="L276" s="103"/>
      <c r="M276" s="103">
        <v>3720</v>
      </c>
      <c r="N276" s="103">
        <v>79</v>
      </c>
      <c r="O276" s="103"/>
      <c r="P276" s="103"/>
      <c r="Q276" s="103"/>
      <c r="R276" s="103"/>
      <c r="S276" s="103"/>
      <c r="T276" s="103"/>
      <c r="U276" s="103">
        <v>3518</v>
      </c>
      <c r="V276" s="103"/>
      <c r="W276" s="103"/>
      <c r="X276" s="103"/>
      <c r="Y276" s="103"/>
      <c r="Z276" s="103"/>
      <c r="AA276" s="103"/>
      <c r="AB276" s="103"/>
      <c r="AC276" s="103">
        <v>180</v>
      </c>
      <c r="AD276" s="103"/>
      <c r="AE276" s="103"/>
      <c r="AF276" s="103"/>
      <c r="AG276" s="103"/>
      <c r="AH276" s="103"/>
      <c r="AI276" s="103"/>
      <c r="AJ276" s="103">
        <v>101</v>
      </c>
      <c r="AK276" s="103"/>
      <c r="AL276" s="103"/>
      <c r="AM276" s="103">
        <v>360</v>
      </c>
      <c r="AN276" s="103"/>
      <c r="AO276" s="103"/>
      <c r="AP276" s="103">
        <v>153</v>
      </c>
      <c r="AQ276" s="103">
        <v>172</v>
      </c>
      <c r="AR276" s="103">
        <v>3114</v>
      </c>
      <c r="AS276" s="103"/>
      <c r="AT276" s="103"/>
      <c r="AU276" s="103"/>
      <c r="AV276" s="103"/>
      <c r="AW276" s="104" t="str">
        <f>HYPERLINK("http://www.openstreetmap.org/?mlat=33.4665&amp;mlon=43.0643&amp;zoom=12#map=12/33.4665/43.0643","Maplink1")</f>
        <v>Maplink1</v>
      </c>
      <c r="AX276" s="104" t="str">
        <f>HYPERLINK("https://www.google.iq/maps/search/+33.4665,43.0643/@33.4665,43.0643,14z?hl=en","Maplink2")</f>
        <v>Maplink2</v>
      </c>
      <c r="AY276" s="104" t="str">
        <f>HYPERLINK("http://www.bing.com/maps/?lvl=14&amp;sty=h&amp;cp=33.4665~43.0643&amp;sp=point.33.4665_43.0643","Maplink3")</f>
        <v>Maplink3</v>
      </c>
    </row>
    <row r="277" spans="1:51" x14ac:dyDescent="0.2">
      <c r="A277" s="102">
        <v>28395</v>
      </c>
      <c r="B277" s="103" t="s">
        <v>29</v>
      </c>
      <c r="C277" s="103" t="s">
        <v>83</v>
      </c>
      <c r="D277" s="103" t="s">
        <v>650</v>
      </c>
      <c r="E277" s="103" t="s">
        <v>651</v>
      </c>
      <c r="F277" s="103">
        <v>33.396511515</v>
      </c>
      <c r="G277" s="103">
        <v>42.854081999999998</v>
      </c>
      <c r="H277" s="102">
        <v>1400</v>
      </c>
      <c r="I277" s="102">
        <v>8400</v>
      </c>
      <c r="J277" s="103"/>
      <c r="K277" s="103"/>
      <c r="L277" s="103"/>
      <c r="M277" s="103">
        <v>1400</v>
      </c>
      <c r="N277" s="103"/>
      <c r="O277" s="103"/>
      <c r="P277" s="103"/>
      <c r="Q277" s="103"/>
      <c r="R277" s="103"/>
      <c r="S277" s="103"/>
      <c r="T277" s="103"/>
      <c r="U277" s="103">
        <v>737</v>
      </c>
      <c r="V277" s="103"/>
      <c r="W277" s="103">
        <v>144</v>
      </c>
      <c r="X277" s="103"/>
      <c r="Y277" s="103"/>
      <c r="Z277" s="103"/>
      <c r="AA277" s="103">
        <v>334</v>
      </c>
      <c r="AB277" s="103"/>
      <c r="AC277" s="103"/>
      <c r="AD277" s="103"/>
      <c r="AE277" s="103"/>
      <c r="AF277" s="103"/>
      <c r="AG277" s="103"/>
      <c r="AH277" s="103"/>
      <c r="AI277" s="103"/>
      <c r="AJ277" s="103">
        <v>185</v>
      </c>
      <c r="AK277" s="103"/>
      <c r="AL277" s="103"/>
      <c r="AM277" s="103">
        <v>1400</v>
      </c>
      <c r="AN277" s="103"/>
      <c r="AO277" s="103"/>
      <c r="AP277" s="103"/>
      <c r="AQ277" s="103"/>
      <c r="AR277" s="103"/>
      <c r="AS277" s="103"/>
      <c r="AT277" s="103"/>
      <c r="AU277" s="103"/>
      <c r="AV277" s="103"/>
      <c r="AW277" s="104" t="str">
        <f>HYPERLINK("http://www.openstreetmap.org/?mlat=33.3965&amp;mlon=42.8541&amp;zoom=12#map=12/33.3965/42.8541","Maplink1")</f>
        <v>Maplink1</v>
      </c>
      <c r="AX277" s="104" t="str">
        <f>HYPERLINK("https://www.google.iq/maps/search/+33.3965,42.8541/@33.3965,42.8541,14z?hl=en","Maplink2")</f>
        <v>Maplink2</v>
      </c>
      <c r="AY277" s="104" t="str">
        <f>HYPERLINK("http://www.bing.com/maps/?lvl=14&amp;sty=h&amp;cp=33.3965~42.8541&amp;sp=point.33.3965_42.8541","Maplink3")</f>
        <v>Maplink3</v>
      </c>
    </row>
    <row r="278" spans="1:51" x14ac:dyDescent="0.2">
      <c r="A278" s="102">
        <v>29534</v>
      </c>
      <c r="B278" s="103" t="s">
        <v>29</v>
      </c>
      <c r="C278" s="103" t="s">
        <v>83</v>
      </c>
      <c r="D278" s="103" t="s">
        <v>652</v>
      </c>
      <c r="E278" s="103" t="s">
        <v>508</v>
      </c>
      <c r="F278" s="103">
        <v>33.431789999999999</v>
      </c>
      <c r="G278" s="103">
        <v>43.284176173900001</v>
      </c>
      <c r="H278" s="102">
        <v>1601</v>
      </c>
      <c r="I278" s="102">
        <v>9606</v>
      </c>
      <c r="J278" s="103"/>
      <c r="K278" s="103"/>
      <c r="L278" s="103">
        <v>82</v>
      </c>
      <c r="M278" s="103">
        <v>1519</v>
      </c>
      <c r="N278" s="103"/>
      <c r="O278" s="103"/>
      <c r="P278" s="103"/>
      <c r="Q278" s="103"/>
      <c r="R278" s="103"/>
      <c r="S278" s="103"/>
      <c r="T278" s="103"/>
      <c r="U278" s="103">
        <v>888</v>
      </c>
      <c r="V278" s="103">
        <v>336</v>
      </c>
      <c r="W278" s="103">
        <v>314</v>
      </c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>
        <v>63</v>
      </c>
      <c r="AK278" s="103"/>
      <c r="AL278" s="103"/>
      <c r="AM278" s="103">
        <v>401</v>
      </c>
      <c r="AN278" s="103">
        <v>63</v>
      </c>
      <c r="AO278" s="103"/>
      <c r="AP278" s="103">
        <v>717</v>
      </c>
      <c r="AQ278" s="103">
        <v>420</v>
      </c>
      <c r="AR278" s="103"/>
      <c r="AS278" s="103"/>
      <c r="AT278" s="103"/>
      <c r="AU278" s="103"/>
      <c r="AV278" s="103"/>
      <c r="AW278" s="104" t="str">
        <f>HYPERLINK("http://www.openstreetmap.org/?mlat=33.4318&amp;mlon=43.2842&amp;zoom=12#map=12/33.4318/43.2842","Maplink1")</f>
        <v>Maplink1</v>
      </c>
      <c r="AX278" s="104" t="str">
        <f>HYPERLINK("https://www.google.iq/maps/search/+33.4318,43.2842/@33.4318,43.2842,14z?hl=en","Maplink2")</f>
        <v>Maplink2</v>
      </c>
      <c r="AY278" s="104" t="str">
        <f>HYPERLINK("http://www.bing.com/maps/?lvl=14&amp;sty=h&amp;cp=33.4318~43.2842&amp;sp=point.33.4318_43.2842","Maplink3")</f>
        <v>Maplink3</v>
      </c>
    </row>
    <row r="279" spans="1:51" x14ac:dyDescent="0.2">
      <c r="A279" s="102">
        <v>204</v>
      </c>
      <c r="B279" s="103" t="s">
        <v>29</v>
      </c>
      <c r="C279" s="103" t="s">
        <v>83</v>
      </c>
      <c r="D279" s="103" t="s">
        <v>653</v>
      </c>
      <c r="E279" s="103" t="s">
        <v>654</v>
      </c>
      <c r="F279" s="103">
        <v>33.41583</v>
      </c>
      <c r="G279" s="103">
        <v>43.268916326800003</v>
      </c>
      <c r="H279" s="102">
        <v>1802</v>
      </c>
      <c r="I279" s="102">
        <v>10812</v>
      </c>
      <c r="J279" s="103"/>
      <c r="K279" s="103"/>
      <c r="L279" s="103"/>
      <c r="M279" s="103">
        <v>1772</v>
      </c>
      <c r="N279" s="103">
        <v>30</v>
      </c>
      <c r="O279" s="103"/>
      <c r="P279" s="103"/>
      <c r="Q279" s="103"/>
      <c r="R279" s="103"/>
      <c r="S279" s="103"/>
      <c r="T279" s="103"/>
      <c r="U279" s="103">
        <v>263</v>
      </c>
      <c r="V279" s="103"/>
      <c r="W279" s="103">
        <v>786</v>
      </c>
      <c r="X279" s="103"/>
      <c r="Y279" s="103"/>
      <c r="Z279" s="103"/>
      <c r="AA279" s="103">
        <v>307</v>
      </c>
      <c r="AB279" s="103"/>
      <c r="AC279" s="103">
        <v>446</v>
      </c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>
        <v>264</v>
      </c>
      <c r="AN279" s="103">
        <v>334</v>
      </c>
      <c r="AO279" s="103"/>
      <c r="AP279" s="103">
        <v>760</v>
      </c>
      <c r="AQ279" s="103">
        <v>444</v>
      </c>
      <c r="AR279" s="103"/>
      <c r="AS279" s="103"/>
      <c r="AT279" s="103"/>
      <c r="AU279" s="103"/>
      <c r="AV279" s="103"/>
      <c r="AW279" s="104" t="str">
        <f>HYPERLINK("http://www.openstreetmap.org/?mlat=33.4158&amp;mlon=43.2689&amp;zoom=12#map=12/33.4158/43.2689","Maplink1")</f>
        <v>Maplink1</v>
      </c>
      <c r="AX279" s="104" t="str">
        <f>HYPERLINK("https://www.google.iq/maps/search/+33.4158,43.2689/@33.4158,43.2689,14z?hl=en","Maplink2")</f>
        <v>Maplink2</v>
      </c>
      <c r="AY279" s="104" t="str">
        <f>HYPERLINK("http://www.bing.com/maps/?lvl=14&amp;sty=h&amp;cp=33.4158~43.2689&amp;sp=point.33.4158_43.2689","Maplink3")</f>
        <v>Maplink3</v>
      </c>
    </row>
    <row r="280" spans="1:51" x14ac:dyDescent="0.2">
      <c r="A280" s="102">
        <v>33836</v>
      </c>
      <c r="B280" s="103" t="s">
        <v>29</v>
      </c>
      <c r="C280" s="103" t="s">
        <v>83</v>
      </c>
      <c r="D280" s="103" t="s">
        <v>655</v>
      </c>
      <c r="E280" s="103" t="s">
        <v>656</v>
      </c>
      <c r="F280" s="103">
        <v>33.281999999999996</v>
      </c>
      <c r="G280" s="103">
        <v>43.263599999999997</v>
      </c>
      <c r="H280" s="102">
        <v>1043</v>
      </c>
      <c r="I280" s="102">
        <v>6258</v>
      </c>
      <c r="J280" s="103"/>
      <c r="K280" s="103"/>
      <c r="L280" s="103"/>
      <c r="M280" s="103">
        <v>1043</v>
      </c>
      <c r="N280" s="103"/>
      <c r="O280" s="103"/>
      <c r="P280" s="103"/>
      <c r="Q280" s="103"/>
      <c r="R280" s="103"/>
      <c r="S280" s="103"/>
      <c r="T280" s="103"/>
      <c r="U280" s="103">
        <v>820</v>
      </c>
      <c r="V280" s="103"/>
      <c r="W280" s="103">
        <v>150</v>
      </c>
      <c r="X280" s="103"/>
      <c r="Y280" s="103"/>
      <c r="Z280" s="103"/>
      <c r="AA280" s="103">
        <v>25</v>
      </c>
      <c r="AB280" s="103"/>
      <c r="AC280" s="103">
        <v>38</v>
      </c>
      <c r="AD280" s="103"/>
      <c r="AE280" s="103"/>
      <c r="AF280" s="103"/>
      <c r="AG280" s="103"/>
      <c r="AH280" s="103"/>
      <c r="AI280" s="103"/>
      <c r="AJ280" s="103">
        <v>10</v>
      </c>
      <c r="AK280" s="103"/>
      <c r="AL280" s="103"/>
      <c r="AM280" s="103">
        <v>900</v>
      </c>
      <c r="AN280" s="103">
        <v>100</v>
      </c>
      <c r="AO280" s="103"/>
      <c r="AP280" s="103"/>
      <c r="AQ280" s="103"/>
      <c r="AR280" s="103">
        <v>43</v>
      </c>
      <c r="AS280" s="103"/>
      <c r="AT280" s="103"/>
      <c r="AU280" s="103"/>
      <c r="AV280" s="103"/>
      <c r="AW280" s="104" t="str">
        <f>HYPERLINK("http://www.openstreetmap.org/?mlat=33.282&amp;mlon=43.2636&amp;zoom=12#map=12/33.282/43.2636","Maplink1")</f>
        <v>Maplink1</v>
      </c>
      <c r="AX280" s="104" t="str">
        <f>HYPERLINK("https://www.google.iq/maps/search/+33.282,43.2636/@33.282,43.2636,14z?hl=en","Maplink2")</f>
        <v>Maplink2</v>
      </c>
      <c r="AY280" s="104" t="str">
        <f>HYPERLINK("http://www.bing.com/maps/?lvl=14&amp;sty=h&amp;cp=33.282~43.2636&amp;sp=point.33.282_43.2636","Maplink3")</f>
        <v>Maplink3</v>
      </c>
    </row>
    <row r="281" spans="1:51" x14ac:dyDescent="0.2">
      <c r="A281" s="102">
        <v>23851</v>
      </c>
      <c r="B281" s="103" t="s">
        <v>29</v>
      </c>
      <c r="C281" s="103" t="s">
        <v>83</v>
      </c>
      <c r="D281" s="103" t="s">
        <v>661</v>
      </c>
      <c r="E281" s="103" t="s">
        <v>662</v>
      </c>
      <c r="F281" s="103">
        <v>33.409967010099997</v>
      </c>
      <c r="G281" s="103">
        <v>43.184652960199998</v>
      </c>
      <c r="H281" s="102">
        <v>120</v>
      </c>
      <c r="I281" s="102">
        <v>720</v>
      </c>
      <c r="J281" s="103"/>
      <c r="K281" s="103"/>
      <c r="L281" s="103"/>
      <c r="M281" s="103"/>
      <c r="N281" s="103"/>
      <c r="O281" s="103"/>
      <c r="P281" s="103"/>
      <c r="Q281" s="103"/>
      <c r="R281" s="103"/>
      <c r="S281" s="103">
        <v>120</v>
      </c>
      <c r="T281" s="103"/>
      <c r="U281" s="103">
        <v>65</v>
      </c>
      <c r="V281" s="103"/>
      <c r="W281" s="103"/>
      <c r="X281" s="103"/>
      <c r="Y281" s="103"/>
      <c r="Z281" s="103"/>
      <c r="AA281" s="103">
        <v>55</v>
      </c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>
        <v>46</v>
      </c>
      <c r="AN281" s="103"/>
      <c r="AO281" s="103"/>
      <c r="AP281" s="103">
        <v>40</v>
      </c>
      <c r="AQ281" s="103"/>
      <c r="AR281" s="103">
        <v>34</v>
      </c>
      <c r="AS281" s="103"/>
      <c r="AT281" s="103"/>
      <c r="AU281" s="103"/>
      <c r="AV281" s="103"/>
      <c r="AW281" s="104" t="str">
        <f>HYPERLINK("http://www.openstreetmap.org/?mlat=33.41&amp;mlon=43.1847&amp;zoom=12#map=12/33.41/43.1847","Maplink1")</f>
        <v>Maplink1</v>
      </c>
      <c r="AX281" s="104" t="str">
        <f>HYPERLINK("https://www.google.iq/maps/search/+33.41,43.1847/@33.41,43.1847,14z?hl=en","Maplink2")</f>
        <v>Maplink2</v>
      </c>
      <c r="AY281" s="104" t="str">
        <f>HYPERLINK("http://www.bing.com/maps/?lvl=14&amp;sty=h&amp;cp=33.41~43.1847&amp;sp=point.33.41_43.1847","Maplink3")</f>
        <v>Maplink3</v>
      </c>
    </row>
    <row r="282" spans="1:51" x14ac:dyDescent="0.2">
      <c r="A282" s="102">
        <v>25439</v>
      </c>
      <c r="B282" s="103" t="s">
        <v>29</v>
      </c>
      <c r="C282" s="103" t="s">
        <v>83</v>
      </c>
      <c r="D282" s="103" t="s">
        <v>715</v>
      </c>
      <c r="E282" s="103" t="s">
        <v>363</v>
      </c>
      <c r="F282" s="103">
        <v>33.411952504200002</v>
      </c>
      <c r="G282" s="103">
        <v>43.2861775505</v>
      </c>
      <c r="H282" s="102">
        <v>530</v>
      </c>
      <c r="I282" s="102">
        <v>3180</v>
      </c>
      <c r="J282" s="103"/>
      <c r="K282" s="103"/>
      <c r="L282" s="103"/>
      <c r="M282" s="103">
        <v>530</v>
      </c>
      <c r="N282" s="103"/>
      <c r="O282" s="103"/>
      <c r="P282" s="103"/>
      <c r="Q282" s="103"/>
      <c r="R282" s="103"/>
      <c r="S282" s="103"/>
      <c r="T282" s="103"/>
      <c r="U282" s="103">
        <v>74</v>
      </c>
      <c r="V282" s="103"/>
      <c r="W282" s="103">
        <v>138</v>
      </c>
      <c r="X282" s="103"/>
      <c r="Y282" s="103"/>
      <c r="Z282" s="103"/>
      <c r="AA282" s="103">
        <v>200</v>
      </c>
      <c r="AB282" s="103"/>
      <c r="AC282" s="103">
        <v>118</v>
      </c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03"/>
      <c r="AN282" s="103">
        <v>256</v>
      </c>
      <c r="AO282" s="103"/>
      <c r="AP282" s="103">
        <v>74</v>
      </c>
      <c r="AQ282" s="103">
        <v>200</v>
      </c>
      <c r="AR282" s="103"/>
      <c r="AS282" s="103"/>
      <c r="AT282" s="103"/>
      <c r="AU282" s="103"/>
      <c r="AV282" s="103"/>
      <c r="AW282" s="104" t="str">
        <f>HYPERLINK("http://www.openstreetmap.org/?mlat=33.412&amp;mlon=43.2862&amp;zoom=12#map=12/33.412/43.2862","Maplink1")</f>
        <v>Maplink1</v>
      </c>
      <c r="AX282" s="104" t="str">
        <f>HYPERLINK("https://www.google.iq/maps/search/+33.412,43.2862/@33.412,43.2862,14z?hl=en","Maplink2")</f>
        <v>Maplink2</v>
      </c>
      <c r="AY282" s="104" t="str">
        <f>HYPERLINK("http://www.bing.com/maps/?lvl=14&amp;sty=h&amp;cp=33.412~43.2862&amp;sp=point.33.412_43.2862","Maplink3")</f>
        <v>Maplink3</v>
      </c>
    </row>
    <row r="283" spans="1:51" x14ac:dyDescent="0.2">
      <c r="A283" s="102">
        <v>23891</v>
      </c>
      <c r="B283" s="103" t="s">
        <v>29</v>
      </c>
      <c r="C283" s="103" t="s">
        <v>83</v>
      </c>
      <c r="D283" s="103" t="s">
        <v>716</v>
      </c>
      <c r="E283" s="103" t="s">
        <v>717</v>
      </c>
      <c r="F283" s="103">
        <v>33.374498000000003</v>
      </c>
      <c r="G283" s="103">
        <v>42.847050000000003</v>
      </c>
      <c r="H283" s="102">
        <v>945</v>
      </c>
      <c r="I283" s="102">
        <v>5670</v>
      </c>
      <c r="J283" s="103"/>
      <c r="K283" s="103"/>
      <c r="L283" s="103"/>
      <c r="M283" s="103">
        <v>945</v>
      </c>
      <c r="N283" s="103"/>
      <c r="O283" s="103"/>
      <c r="P283" s="103"/>
      <c r="Q283" s="103"/>
      <c r="R283" s="103"/>
      <c r="S283" s="103"/>
      <c r="T283" s="103"/>
      <c r="U283" s="103">
        <v>415</v>
      </c>
      <c r="V283" s="103"/>
      <c r="W283" s="103"/>
      <c r="X283" s="103"/>
      <c r="Y283" s="103"/>
      <c r="Z283" s="103"/>
      <c r="AA283" s="103">
        <v>530</v>
      </c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>
        <v>252</v>
      </c>
      <c r="AN283" s="103">
        <v>200</v>
      </c>
      <c r="AO283" s="103"/>
      <c r="AP283" s="103">
        <v>42</v>
      </c>
      <c r="AQ283" s="103">
        <v>451</v>
      </c>
      <c r="AR283" s="103"/>
      <c r="AS283" s="103"/>
      <c r="AT283" s="103"/>
      <c r="AU283" s="103"/>
      <c r="AV283" s="103"/>
      <c r="AW283" s="104" t="str">
        <f>HYPERLINK("http://www.openstreetmap.org/?mlat=33.3745&amp;mlon=42.8471&amp;zoom=12#map=12/33.3745/42.8471","Maplink1")</f>
        <v>Maplink1</v>
      </c>
      <c r="AX283" s="104" t="str">
        <f>HYPERLINK("https://www.google.iq/maps/search/+33.3745,42.8471/@33.3745,42.8471,14z?hl=en","Maplink2")</f>
        <v>Maplink2</v>
      </c>
      <c r="AY283" s="104" t="str">
        <f>HYPERLINK("http://www.bing.com/maps/?lvl=14&amp;sty=h&amp;cp=33.3745~42.8471&amp;sp=point.33.3745_42.8471","Maplink3")</f>
        <v>Maplink3</v>
      </c>
    </row>
    <row r="284" spans="1:51" x14ac:dyDescent="0.2">
      <c r="A284" s="102">
        <v>21997</v>
      </c>
      <c r="B284" s="103" t="s">
        <v>29</v>
      </c>
      <c r="C284" s="103" t="s">
        <v>83</v>
      </c>
      <c r="D284" s="103" t="s">
        <v>718</v>
      </c>
      <c r="E284" s="103" t="s">
        <v>719</v>
      </c>
      <c r="F284" s="103">
        <v>33.4172188199</v>
      </c>
      <c r="G284" s="103">
        <v>43.278393349700004</v>
      </c>
      <c r="H284" s="102">
        <v>1721</v>
      </c>
      <c r="I284" s="102">
        <v>10326</v>
      </c>
      <c r="J284" s="103"/>
      <c r="K284" s="103"/>
      <c r="L284" s="103">
        <v>90</v>
      </c>
      <c r="M284" s="103">
        <v>1599</v>
      </c>
      <c r="N284" s="103">
        <v>32</v>
      </c>
      <c r="O284" s="103"/>
      <c r="P284" s="103"/>
      <c r="Q284" s="103"/>
      <c r="R284" s="103"/>
      <c r="S284" s="103"/>
      <c r="T284" s="103"/>
      <c r="U284" s="103">
        <v>352</v>
      </c>
      <c r="V284" s="103"/>
      <c r="W284" s="103">
        <v>782</v>
      </c>
      <c r="X284" s="103"/>
      <c r="Y284" s="103"/>
      <c r="Z284" s="103"/>
      <c r="AA284" s="103">
        <v>120</v>
      </c>
      <c r="AB284" s="103"/>
      <c r="AC284" s="103">
        <v>467</v>
      </c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>
        <v>482</v>
      </c>
      <c r="AN284" s="103">
        <v>302</v>
      </c>
      <c r="AO284" s="103"/>
      <c r="AP284" s="103">
        <v>502</v>
      </c>
      <c r="AQ284" s="103">
        <v>435</v>
      </c>
      <c r="AR284" s="103"/>
      <c r="AS284" s="103"/>
      <c r="AT284" s="103"/>
      <c r="AU284" s="103"/>
      <c r="AV284" s="103"/>
      <c r="AW284" s="104" t="str">
        <f>HYPERLINK("http://www.openstreetmap.org/?mlat=33.4172&amp;mlon=43.2784&amp;zoom=12#map=12/33.4172/43.2784","Maplink1")</f>
        <v>Maplink1</v>
      </c>
      <c r="AX284" s="104" t="str">
        <f>HYPERLINK("https://www.google.iq/maps/search/+33.4172,43.2784/@33.4172,43.2784,14z?hl=en","Maplink2")</f>
        <v>Maplink2</v>
      </c>
      <c r="AY284" s="104" t="str">
        <f>HYPERLINK("http://www.bing.com/maps/?lvl=14&amp;sty=h&amp;cp=33.4172~43.2784&amp;sp=point.33.4172_43.2784","Maplink3")</f>
        <v>Maplink3</v>
      </c>
    </row>
    <row r="285" spans="1:51" x14ac:dyDescent="0.2">
      <c r="A285" s="102">
        <v>21409</v>
      </c>
      <c r="B285" s="103" t="s">
        <v>29</v>
      </c>
      <c r="C285" s="103" t="s">
        <v>83</v>
      </c>
      <c r="D285" s="103" t="s">
        <v>148</v>
      </c>
      <c r="E285" s="103" t="s">
        <v>489</v>
      </c>
      <c r="F285" s="103">
        <v>33.369611332799998</v>
      </c>
      <c r="G285" s="103">
        <v>43.536014079799997</v>
      </c>
      <c r="H285" s="102">
        <v>540</v>
      </c>
      <c r="I285" s="102">
        <v>3240</v>
      </c>
      <c r="J285" s="103"/>
      <c r="K285" s="103"/>
      <c r="L285" s="103"/>
      <c r="M285" s="103">
        <v>540</v>
      </c>
      <c r="N285" s="103"/>
      <c r="O285" s="103"/>
      <c r="P285" s="103"/>
      <c r="Q285" s="103"/>
      <c r="R285" s="103"/>
      <c r="S285" s="103"/>
      <c r="T285" s="103"/>
      <c r="U285" s="103">
        <v>108</v>
      </c>
      <c r="V285" s="103"/>
      <c r="W285" s="103">
        <v>205</v>
      </c>
      <c r="X285" s="103"/>
      <c r="Y285" s="103"/>
      <c r="Z285" s="103"/>
      <c r="AA285" s="103">
        <v>92</v>
      </c>
      <c r="AB285" s="103"/>
      <c r="AC285" s="103">
        <v>135</v>
      </c>
      <c r="AD285" s="103"/>
      <c r="AE285" s="103"/>
      <c r="AF285" s="103"/>
      <c r="AG285" s="103"/>
      <c r="AH285" s="103"/>
      <c r="AI285" s="103"/>
      <c r="AJ285" s="103"/>
      <c r="AK285" s="103"/>
      <c r="AL285" s="103"/>
      <c r="AM285" s="103">
        <v>217</v>
      </c>
      <c r="AN285" s="103"/>
      <c r="AO285" s="103"/>
      <c r="AP285" s="103">
        <v>114</v>
      </c>
      <c r="AQ285" s="103">
        <v>197</v>
      </c>
      <c r="AR285" s="103">
        <v>12</v>
      </c>
      <c r="AS285" s="103"/>
      <c r="AT285" s="103"/>
      <c r="AU285" s="103"/>
      <c r="AV285" s="103"/>
      <c r="AW285" s="104" t="str">
        <f>HYPERLINK("http://www.openstreetmap.org/?mlat=33.3696&amp;mlon=43.536&amp;zoom=12#map=12/33.3696/43.536","Maplink1")</f>
        <v>Maplink1</v>
      </c>
      <c r="AX285" s="104" t="str">
        <f>HYPERLINK("https://www.google.iq/maps/search/+33.3696,43.536/@33.3696,43.536,14z?hl=en","Maplink2")</f>
        <v>Maplink2</v>
      </c>
      <c r="AY285" s="104" t="str">
        <f>HYPERLINK("http://www.bing.com/maps/?lvl=14&amp;sty=h&amp;cp=33.3696~43.536&amp;sp=point.33.3696_43.536","Maplink3")</f>
        <v>Maplink3</v>
      </c>
    </row>
    <row r="286" spans="1:51" x14ac:dyDescent="0.2">
      <c r="A286" s="102">
        <v>132</v>
      </c>
      <c r="B286" s="103" t="s">
        <v>29</v>
      </c>
      <c r="C286" s="103" t="s">
        <v>83</v>
      </c>
      <c r="D286" s="103" t="s">
        <v>663</v>
      </c>
      <c r="E286" s="103" t="s">
        <v>664</v>
      </c>
      <c r="F286" s="103">
        <v>33.417740000000002</v>
      </c>
      <c r="G286" s="103">
        <v>43.305575376900002</v>
      </c>
      <c r="H286" s="102">
        <v>2118</v>
      </c>
      <c r="I286" s="102">
        <v>12708</v>
      </c>
      <c r="J286" s="103"/>
      <c r="K286" s="103"/>
      <c r="L286" s="103"/>
      <c r="M286" s="103">
        <v>2060</v>
      </c>
      <c r="N286" s="103">
        <v>58</v>
      </c>
      <c r="O286" s="103"/>
      <c r="P286" s="103"/>
      <c r="Q286" s="103"/>
      <c r="R286" s="103"/>
      <c r="S286" s="103"/>
      <c r="T286" s="103"/>
      <c r="U286" s="103">
        <v>1734</v>
      </c>
      <c r="V286" s="103">
        <v>58</v>
      </c>
      <c r="W286" s="103">
        <v>98</v>
      </c>
      <c r="X286" s="103"/>
      <c r="Y286" s="103"/>
      <c r="Z286" s="103"/>
      <c r="AA286" s="103">
        <v>158</v>
      </c>
      <c r="AB286" s="103"/>
      <c r="AC286" s="103">
        <v>70</v>
      </c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>
        <v>798</v>
      </c>
      <c r="AN286" s="103"/>
      <c r="AO286" s="103"/>
      <c r="AP286" s="103">
        <v>361</v>
      </c>
      <c r="AQ286" s="103">
        <v>959</v>
      </c>
      <c r="AR286" s="103"/>
      <c r="AS286" s="103"/>
      <c r="AT286" s="103"/>
      <c r="AU286" s="103"/>
      <c r="AV286" s="103"/>
      <c r="AW286" s="104" t="str">
        <f>HYPERLINK("http://www.openstreetmap.org/?mlat=33.4177&amp;mlon=43.3056&amp;zoom=12#map=12/33.4177/43.3056","Maplink1")</f>
        <v>Maplink1</v>
      </c>
      <c r="AX286" s="104" t="str">
        <f>HYPERLINK("https://www.google.iq/maps/search/+33.4177,43.3056/@33.4177,43.3056,14z?hl=en","Maplink2")</f>
        <v>Maplink2</v>
      </c>
      <c r="AY286" s="104" t="str">
        <f>HYPERLINK("http://www.bing.com/maps/?lvl=14&amp;sty=h&amp;cp=33.4177~43.3056&amp;sp=point.33.4177_43.3056","Maplink3")</f>
        <v>Maplink3</v>
      </c>
    </row>
    <row r="287" spans="1:51" x14ac:dyDescent="0.2">
      <c r="A287" s="102">
        <v>21083</v>
      </c>
      <c r="B287" s="103" t="s">
        <v>29</v>
      </c>
      <c r="C287" s="103" t="s">
        <v>83</v>
      </c>
      <c r="D287" s="103" t="s">
        <v>665</v>
      </c>
      <c r="E287" s="103" t="s">
        <v>666</v>
      </c>
      <c r="F287" s="103">
        <v>33.446874999999999</v>
      </c>
      <c r="G287" s="103">
        <v>43.265577999999998</v>
      </c>
      <c r="H287" s="102">
        <v>300</v>
      </c>
      <c r="I287" s="102">
        <v>1800</v>
      </c>
      <c r="J287" s="103"/>
      <c r="K287" s="103"/>
      <c r="L287" s="103"/>
      <c r="M287" s="103">
        <v>300</v>
      </c>
      <c r="N287" s="103"/>
      <c r="O287" s="103"/>
      <c r="P287" s="103"/>
      <c r="Q287" s="103"/>
      <c r="R287" s="103"/>
      <c r="S287" s="103"/>
      <c r="T287" s="103"/>
      <c r="U287" s="103"/>
      <c r="V287" s="103"/>
      <c r="W287" s="103">
        <v>90</v>
      </c>
      <c r="X287" s="103"/>
      <c r="Y287" s="103"/>
      <c r="Z287" s="103"/>
      <c r="AA287" s="103">
        <v>130</v>
      </c>
      <c r="AB287" s="103"/>
      <c r="AC287" s="103"/>
      <c r="AD287" s="103"/>
      <c r="AE287" s="103"/>
      <c r="AF287" s="103"/>
      <c r="AG287" s="103"/>
      <c r="AH287" s="103"/>
      <c r="AI287" s="103"/>
      <c r="AJ287" s="103">
        <v>80</v>
      </c>
      <c r="AK287" s="103"/>
      <c r="AL287" s="103"/>
      <c r="AM287" s="103">
        <v>300</v>
      </c>
      <c r="AN287" s="103"/>
      <c r="AO287" s="103"/>
      <c r="AP287" s="103"/>
      <c r="AQ287" s="103"/>
      <c r="AR287" s="103"/>
      <c r="AS287" s="103"/>
      <c r="AT287" s="103"/>
      <c r="AU287" s="103"/>
      <c r="AV287" s="103"/>
      <c r="AW287" s="104" t="str">
        <f>HYPERLINK("http://www.openstreetmap.org/?mlat=33.4469&amp;mlon=43.2656&amp;zoom=12#map=12/33.4469/43.2656","Maplink1")</f>
        <v>Maplink1</v>
      </c>
      <c r="AX287" s="104" t="str">
        <f>HYPERLINK("https://www.google.iq/maps/search/+33.4469,43.2656/@33.4469,43.2656,14z?hl=en","Maplink2")</f>
        <v>Maplink2</v>
      </c>
      <c r="AY287" s="104" t="str">
        <f>HYPERLINK("http://www.bing.com/maps/?lvl=14&amp;sty=h&amp;cp=33.4469~43.2656&amp;sp=point.33.4469_43.2656","Maplink3")</f>
        <v>Maplink3</v>
      </c>
    </row>
    <row r="288" spans="1:51" x14ac:dyDescent="0.2">
      <c r="A288" s="102">
        <v>23858</v>
      </c>
      <c r="B288" s="103" t="s">
        <v>29</v>
      </c>
      <c r="C288" s="103" t="s">
        <v>83</v>
      </c>
      <c r="D288" s="103" t="s">
        <v>727</v>
      </c>
      <c r="E288" s="103" t="s">
        <v>728</v>
      </c>
      <c r="F288" s="103">
        <v>33.392705409100003</v>
      </c>
      <c r="G288" s="103">
        <v>43.532474765000003</v>
      </c>
      <c r="H288" s="102">
        <v>378</v>
      </c>
      <c r="I288" s="102">
        <v>2268</v>
      </c>
      <c r="J288" s="103"/>
      <c r="K288" s="103"/>
      <c r="L288" s="103"/>
      <c r="M288" s="103">
        <v>378</v>
      </c>
      <c r="N288" s="103"/>
      <c r="O288" s="103"/>
      <c r="P288" s="103"/>
      <c r="Q288" s="103"/>
      <c r="R288" s="103"/>
      <c r="S288" s="103"/>
      <c r="T288" s="103"/>
      <c r="U288" s="103">
        <v>197</v>
      </c>
      <c r="V288" s="103"/>
      <c r="W288" s="103"/>
      <c r="X288" s="103"/>
      <c r="Y288" s="103"/>
      <c r="Z288" s="103"/>
      <c r="AA288" s="103"/>
      <c r="AB288" s="103"/>
      <c r="AC288" s="103">
        <v>114</v>
      </c>
      <c r="AD288" s="103"/>
      <c r="AE288" s="103"/>
      <c r="AF288" s="103"/>
      <c r="AG288" s="103"/>
      <c r="AH288" s="103"/>
      <c r="AI288" s="103"/>
      <c r="AJ288" s="103">
        <v>67</v>
      </c>
      <c r="AK288" s="103"/>
      <c r="AL288" s="103"/>
      <c r="AM288" s="103">
        <v>175</v>
      </c>
      <c r="AN288" s="103"/>
      <c r="AO288" s="103"/>
      <c r="AP288" s="103"/>
      <c r="AQ288" s="103">
        <v>126</v>
      </c>
      <c r="AR288" s="103">
        <v>77</v>
      </c>
      <c r="AS288" s="103"/>
      <c r="AT288" s="103"/>
      <c r="AU288" s="103"/>
      <c r="AV288" s="103"/>
      <c r="AW288" s="104" t="str">
        <f>HYPERLINK("http://www.openstreetmap.org/?mlat=33.3927&amp;mlon=43.5325&amp;zoom=12#map=12/33.3927/43.5325","Maplink1")</f>
        <v>Maplink1</v>
      </c>
      <c r="AX288" s="104" t="str">
        <f>HYPERLINK("https://www.google.iq/maps/search/+33.3927,43.5325/@33.3927,43.5325,14z?hl=en","Maplink2")</f>
        <v>Maplink2</v>
      </c>
      <c r="AY288" s="104" t="str">
        <f>HYPERLINK("http://www.bing.com/maps/?lvl=14&amp;sty=h&amp;cp=33.3927~43.5325&amp;sp=point.33.3927_43.5325","Maplink3")</f>
        <v>Maplink3</v>
      </c>
    </row>
    <row r="289" spans="1:51" x14ac:dyDescent="0.2">
      <c r="A289" s="102">
        <v>21403</v>
      </c>
      <c r="B289" s="103" t="s">
        <v>29</v>
      </c>
      <c r="C289" s="103" t="s">
        <v>83</v>
      </c>
      <c r="D289" s="103" t="s">
        <v>729</v>
      </c>
      <c r="E289" s="103" t="s">
        <v>730</v>
      </c>
      <c r="F289" s="103">
        <v>33.425559999999997</v>
      </c>
      <c r="G289" s="103">
        <v>43.337527753400003</v>
      </c>
      <c r="H289" s="102">
        <v>1814</v>
      </c>
      <c r="I289" s="102">
        <v>10884</v>
      </c>
      <c r="J289" s="103"/>
      <c r="K289" s="103"/>
      <c r="L289" s="103">
        <v>37</v>
      </c>
      <c r="M289" s="103">
        <v>1777</v>
      </c>
      <c r="N289" s="103"/>
      <c r="O289" s="103"/>
      <c r="P289" s="103"/>
      <c r="Q289" s="103"/>
      <c r="R289" s="103"/>
      <c r="S289" s="103"/>
      <c r="T289" s="103"/>
      <c r="U289" s="103">
        <v>689</v>
      </c>
      <c r="V289" s="103"/>
      <c r="W289" s="103">
        <v>700</v>
      </c>
      <c r="X289" s="103"/>
      <c r="Y289" s="103"/>
      <c r="Z289" s="103"/>
      <c r="AA289" s="103">
        <v>226</v>
      </c>
      <c r="AB289" s="103"/>
      <c r="AC289" s="103"/>
      <c r="AD289" s="103"/>
      <c r="AE289" s="103"/>
      <c r="AF289" s="103"/>
      <c r="AG289" s="103"/>
      <c r="AH289" s="103"/>
      <c r="AI289" s="103"/>
      <c r="AJ289" s="103">
        <v>199</v>
      </c>
      <c r="AK289" s="103"/>
      <c r="AL289" s="103"/>
      <c r="AM289" s="103">
        <v>37</v>
      </c>
      <c r="AN289" s="103">
        <v>199</v>
      </c>
      <c r="AO289" s="103"/>
      <c r="AP289" s="103">
        <v>850</v>
      </c>
      <c r="AQ289" s="103">
        <v>335</v>
      </c>
      <c r="AR289" s="103">
        <v>393</v>
      </c>
      <c r="AS289" s="103"/>
      <c r="AT289" s="103"/>
      <c r="AU289" s="103"/>
      <c r="AV289" s="103"/>
      <c r="AW289" s="104" t="str">
        <f>HYPERLINK("http://www.openstreetmap.org/?mlat=33.4256&amp;mlon=43.3375&amp;zoom=12#map=12/33.4256/43.3375","Maplink1")</f>
        <v>Maplink1</v>
      </c>
      <c r="AX289" s="104" t="str">
        <f>HYPERLINK("https://www.google.iq/maps/search/+33.4256,43.3375/@33.4256,43.3375,14z?hl=en","Maplink2")</f>
        <v>Maplink2</v>
      </c>
      <c r="AY289" s="104" t="str">
        <f>HYPERLINK("http://www.bing.com/maps/?lvl=14&amp;sty=h&amp;cp=33.4256~43.3375&amp;sp=point.33.4256_43.3375","Maplink3")</f>
        <v>Maplink3</v>
      </c>
    </row>
    <row r="290" spans="1:51" x14ac:dyDescent="0.2">
      <c r="A290" s="102">
        <v>33683</v>
      </c>
      <c r="B290" s="103" t="s">
        <v>29</v>
      </c>
      <c r="C290" s="103" t="s">
        <v>83</v>
      </c>
      <c r="D290" s="103" t="s">
        <v>731</v>
      </c>
      <c r="E290" s="103" t="s">
        <v>732</v>
      </c>
      <c r="F290" s="103">
        <v>33.453814999999999</v>
      </c>
      <c r="G290" s="103">
        <v>43.292838929600002</v>
      </c>
      <c r="H290" s="102">
        <v>1642</v>
      </c>
      <c r="I290" s="102">
        <v>9852</v>
      </c>
      <c r="J290" s="103"/>
      <c r="K290" s="103"/>
      <c r="L290" s="103"/>
      <c r="M290" s="103">
        <v>1631</v>
      </c>
      <c r="N290" s="103">
        <v>11</v>
      </c>
      <c r="O290" s="103"/>
      <c r="P290" s="103"/>
      <c r="Q290" s="103"/>
      <c r="R290" s="103"/>
      <c r="S290" s="103"/>
      <c r="T290" s="103"/>
      <c r="U290" s="103">
        <v>422</v>
      </c>
      <c r="V290" s="103">
        <v>420</v>
      </c>
      <c r="W290" s="103">
        <v>410</v>
      </c>
      <c r="X290" s="103"/>
      <c r="Y290" s="103"/>
      <c r="Z290" s="103"/>
      <c r="AA290" s="103">
        <v>390</v>
      </c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>
        <v>1600</v>
      </c>
      <c r="AQ290" s="103">
        <v>42</v>
      </c>
      <c r="AR290" s="103"/>
      <c r="AS290" s="103"/>
      <c r="AT290" s="103"/>
      <c r="AU290" s="103"/>
      <c r="AV290" s="103"/>
      <c r="AW290" s="104" t="str">
        <f>HYPERLINK("http://www.openstreetmap.org/?mlat=33.4538&amp;mlon=43.2928&amp;zoom=12#map=12/33.4538/43.2928","Maplink1")</f>
        <v>Maplink1</v>
      </c>
      <c r="AX290" s="104" t="str">
        <f>HYPERLINK("https://www.google.iq/maps/search/+33.4538,43.2928/@33.4538,43.2928,14z?hl=en","Maplink2")</f>
        <v>Maplink2</v>
      </c>
      <c r="AY290" s="104" t="str">
        <f>HYPERLINK("http://www.bing.com/maps/?lvl=14&amp;sty=h&amp;cp=33.4538~43.2928&amp;sp=point.33.4538_43.2928","Maplink3")</f>
        <v>Maplink3</v>
      </c>
    </row>
    <row r="291" spans="1:51" x14ac:dyDescent="0.2">
      <c r="A291" s="102">
        <v>33960</v>
      </c>
      <c r="B291" s="103" t="s">
        <v>29</v>
      </c>
      <c r="C291" s="103" t="s">
        <v>83</v>
      </c>
      <c r="D291" s="103" t="s">
        <v>733</v>
      </c>
      <c r="E291" s="103" t="s">
        <v>734</v>
      </c>
      <c r="F291" s="103">
        <v>33.492803000000002</v>
      </c>
      <c r="G291" s="103">
        <v>43.253594</v>
      </c>
      <c r="H291" s="102">
        <v>1387</v>
      </c>
      <c r="I291" s="102">
        <v>8322</v>
      </c>
      <c r="J291" s="103"/>
      <c r="K291" s="103"/>
      <c r="L291" s="103">
        <v>87</v>
      </c>
      <c r="M291" s="103">
        <v>1300</v>
      </c>
      <c r="N291" s="103"/>
      <c r="O291" s="103"/>
      <c r="P291" s="103"/>
      <c r="Q291" s="103"/>
      <c r="R291" s="103"/>
      <c r="S291" s="103"/>
      <c r="T291" s="103"/>
      <c r="U291" s="103">
        <v>288</v>
      </c>
      <c r="V291" s="103"/>
      <c r="W291" s="103">
        <v>270</v>
      </c>
      <c r="X291" s="103"/>
      <c r="Y291" s="103"/>
      <c r="Z291" s="103"/>
      <c r="AA291" s="103">
        <v>121</v>
      </c>
      <c r="AB291" s="103"/>
      <c r="AC291" s="103">
        <v>368</v>
      </c>
      <c r="AD291" s="103"/>
      <c r="AE291" s="103"/>
      <c r="AF291" s="103"/>
      <c r="AG291" s="103"/>
      <c r="AH291" s="103"/>
      <c r="AI291" s="103"/>
      <c r="AJ291" s="103">
        <v>340</v>
      </c>
      <c r="AK291" s="103"/>
      <c r="AL291" s="103"/>
      <c r="AM291" s="103">
        <v>1387</v>
      </c>
      <c r="AN291" s="103"/>
      <c r="AO291" s="103"/>
      <c r="AP291" s="103"/>
      <c r="AQ291" s="103"/>
      <c r="AR291" s="103"/>
      <c r="AS291" s="103"/>
      <c r="AT291" s="103"/>
      <c r="AU291" s="103"/>
      <c r="AV291" s="103"/>
      <c r="AW291" s="104" t="str">
        <f>HYPERLINK("http://www.openstreetmap.org/?mlat=33.4928&amp;mlon=43.2536&amp;zoom=12#map=12/33.4928/43.2536","Maplink1")</f>
        <v>Maplink1</v>
      </c>
      <c r="AX291" s="104" t="str">
        <f>HYPERLINK("https://www.google.iq/maps/search/+33.4928,43.2536/@33.4928,43.2536,14z?hl=en","Maplink2")</f>
        <v>Maplink2</v>
      </c>
      <c r="AY291" s="104" t="str">
        <f>HYPERLINK("http://www.bing.com/maps/?lvl=14&amp;sty=h&amp;cp=33.4928~43.2536&amp;sp=point.33.4928_43.2536","Maplink3")</f>
        <v>Maplink3</v>
      </c>
    </row>
    <row r="292" spans="1:51" x14ac:dyDescent="0.2">
      <c r="A292" s="102">
        <v>24729</v>
      </c>
      <c r="B292" s="103" t="s">
        <v>29</v>
      </c>
      <c r="C292" s="103" t="s">
        <v>83</v>
      </c>
      <c r="D292" s="103" t="s">
        <v>709</v>
      </c>
      <c r="E292" s="103" t="s">
        <v>710</v>
      </c>
      <c r="F292" s="103">
        <v>33.386894397699997</v>
      </c>
      <c r="G292" s="103">
        <v>43.515030266300002</v>
      </c>
      <c r="H292" s="102">
        <v>580</v>
      </c>
      <c r="I292" s="102">
        <v>3480</v>
      </c>
      <c r="J292" s="103"/>
      <c r="K292" s="103"/>
      <c r="L292" s="103"/>
      <c r="M292" s="103">
        <v>580</v>
      </c>
      <c r="N292" s="103"/>
      <c r="O292" s="103"/>
      <c r="P292" s="103"/>
      <c r="Q292" s="103"/>
      <c r="R292" s="103"/>
      <c r="S292" s="103"/>
      <c r="T292" s="103"/>
      <c r="U292" s="103">
        <v>354</v>
      </c>
      <c r="V292" s="103"/>
      <c r="W292" s="103">
        <v>89</v>
      </c>
      <c r="X292" s="103"/>
      <c r="Y292" s="103"/>
      <c r="Z292" s="103"/>
      <c r="AA292" s="103">
        <v>87</v>
      </c>
      <c r="AB292" s="103"/>
      <c r="AC292" s="103">
        <v>50</v>
      </c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>
        <v>50</v>
      </c>
      <c r="AN292" s="103"/>
      <c r="AO292" s="103"/>
      <c r="AP292" s="103">
        <v>276</v>
      </c>
      <c r="AQ292" s="103">
        <v>204</v>
      </c>
      <c r="AR292" s="103">
        <v>50</v>
      </c>
      <c r="AS292" s="103"/>
      <c r="AT292" s="103"/>
      <c r="AU292" s="103"/>
      <c r="AV292" s="103"/>
      <c r="AW292" s="104" t="str">
        <f>HYPERLINK("http://www.openstreetmap.org/?mlat=33.3869&amp;mlon=43.515&amp;zoom=12#map=12/33.3869/43.515","Maplink1")</f>
        <v>Maplink1</v>
      </c>
      <c r="AX292" s="104" t="str">
        <f>HYPERLINK("https://www.google.iq/maps/search/+33.3869,43.515/@33.3869,43.515,14z?hl=en","Maplink2")</f>
        <v>Maplink2</v>
      </c>
      <c r="AY292" s="104" t="str">
        <f>HYPERLINK("http://www.bing.com/maps/?lvl=14&amp;sty=h&amp;cp=33.3869~43.515&amp;sp=point.33.3869_43.515","Maplink3")</f>
        <v>Maplink3</v>
      </c>
    </row>
    <row r="293" spans="1:51" x14ac:dyDescent="0.2">
      <c r="A293" s="102">
        <v>33682</v>
      </c>
      <c r="B293" s="103" t="s">
        <v>29</v>
      </c>
      <c r="C293" s="103" t="s">
        <v>83</v>
      </c>
      <c r="D293" s="103" t="s">
        <v>711</v>
      </c>
      <c r="E293" s="103" t="s">
        <v>712</v>
      </c>
      <c r="F293" s="103">
        <v>33.492913999999999</v>
      </c>
      <c r="G293" s="103">
        <v>43.249263233500002</v>
      </c>
      <c r="H293" s="102">
        <v>600</v>
      </c>
      <c r="I293" s="102">
        <v>3600</v>
      </c>
      <c r="J293" s="103"/>
      <c r="K293" s="103"/>
      <c r="L293" s="103"/>
      <c r="M293" s="103">
        <v>545</v>
      </c>
      <c r="N293" s="103">
        <v>55</v>
      </c>
      <c r="O293" s="103"/>
      <c r="P293" s="103"/>
      <c r="Q293" s="103"/>
      <c r="R293" s="103"/>
      <c r="S293" s="103"/>
      <c r="T293" s="103"/>
      <c r="U293" s="103">
        <v>305</v>
      </c>
      <c r="V293" s="103"/>
      <c r="W293" s="103"/>
      <c r="X293" s="103"/>
      <c r="Y293" s="103"/>
      <c r="Z293" s="103"/>
      <c r="AA293" s="103">
        <v>155</v>
      </c>
      <c r="AB293" s="103"/>
      <c r="AC293" s="103"/>
      <c r="AD293" s="103"/>
      <c r="AE293" s="103"/>
      <c r="AF293" s="103"/>
      <c r="AG293" s="103"/>
      <c r="AH293" s="103"/>
      <c r="AI293" s="103"/>
      <c r="AJ293" s="103">
        <v>140</v>
      </c>
      <c r="AK293" s="103"/>
      <c r="AL293" s="103"/>
      <c r="AM293" s="103">
        <v>486</v>
      </c>
      <c r="AN293" s="103"/>
      <c r="AO293" s="103"/>
      <c r="AP293" s="103">
        <v>70</v>
      </c>
      <c r="AQ293" s="103">
        <v>44</v>
      </c>
      <c r="AR293" s="103"/>
      <c r="AS293" s="103"/>
      <c r="AT293" s="103"/>
      <c r="AU293" s="103"/>
      <c r="AV293" s="103"/>
      <c r="AW293" s="104" t="str">
        <f>HYPERLINK("http://www.openstreetmap.org/?mlat=33.4929&amp;mlon=43.2493&amp;zoom=12#map=12/33.4929/43.2493","Maplink1")</f>
        <v>Maplink1</v>
      </c>
      <c r="AX293" s="104" t="str">
        <f>HYPERLINK("https://www.google.iq/maps/search/+33.4929,43.2493/@33.4929,43.2493,14z?hl=en","Maplink2")</f>
        <v>Maplink2</v>
      </c>
      <c r="AY293" s="104" t="str">
        <f>HYPERLINK("http://www.bing.com/maps/?lvl=14&amp;sty=h&amp;cp=33.4929~43.2493&amp;sp=point.33.4929_43.2493","Maplink3")</f>
        <v>Maplink3</v>
      </c>
    </row>
    <row r="294" spans="1:51" x14ac:dyDescent="0.2">
      <c r="A294" s="102">
        <v>33833</v>
      </c>
      <c r="B294" s="103" t="s">
        <v>29</v>
      </c>
      <c r="C294" s="103" t="s">
        <v>83</v>
      </c>
      <c r="D294" s="103" t="s">
        <v>713</v>
      </c>
      <c r="E294" s="103" t="s">
        <v>714</v>
      </c>
      <c r="F294" s="103">
        <v>33.244700000000002</v>
      </c>
      <c r="G294" s="103">
        <v>43.353999999999999</v>
      </c>
      <c r="H294" s="102">
        <v>350</v>
      </c>
      <c r="I294" s="102">
        <v>2100</v>
      </c>
      <c r="J294" s="103"/>
      <c r="K294" s="103"/>
      <c r="L294" s="103"/>
      <c r="M294" s="103">
        <v>350</v>
      </c>
      <c r="N294" s="103"/>
      <c r="O294" s="103"/>
      <c r="P294" s="103"/>
      <c r="Q294" s="103"/>
      <c r="R294" s="103"/>
      <c r="S294" s="103"/>
      <c r="T294" s="103"/>
      <c r="U294" s="103">
        <v>205</v>
      </c>
      <c r="V294" s="103"/>
      <c r="W294" s="103">
        <v>135</v>
      </c>
      <c r="X294" s="103"/>
      <c r="Y294" s="103"/>
      <c r="Z294" s="103"/>
      <c r="AA294" s="103">
        <v>10</v>
      </c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3"/>
      <c r="AM294" s="103"/>
      <c r="AN294" s="103">
        <v>350</v>
      </c>
      <c r="AO294" s="103"/>
      <c r="AP294" s="103"/>
      <c r="AQ294" s="103"/>
      <c r="AR294" s="103"/>
      <c r="AS294" s="103"/>
      <c r="AT294" s="103"/>
      <c r="AU294" s="103"/>
      <c r="AV294" s="103"/>
      <c r="AW294" s="104" t="str">
        <f>HYPERLINK("http://www.openstreetmap.org/?mlat=33.2447&amp;mlon=43.354&amp;zoom=12#map=12/33.2447/43.354","Maplink1")</f>
        <v>Maplink1</v>
      </c>
      <c r="AX294" s="104" t="str">
        <f>HYPERLINK("https://www.google.iq/maps/search/+33.2447,43.354/@33.2447,43.354,14z?hl=en","Maplink2")</f>
        <v>Maplink2</v>
      </c>
      <c r="AY294" s="104" t="str">
        <f>HYPERLINK("http://www.bing.com/maps/?lvl=14&amp;sty=h&amp;cp=33.2447~43.354&amp;sp=point.33.2447_43.354","Maplink3")</f>
        <v>Maplink3</v>
      </c>
    </row>
    <row r="295" spans="1:51" x14ac:dyDescent="0.2">
      <c r="A295" s="102">
        <v>25440</v>
      </c>
      <c r="B295" s="103" t="s">
        <v>29</v>
      </c>
      <c r="C295" s="103" t="s">
        <v>83</v>
      </c>
      <c r="D295" s="103" t="s">
        <v>636</v>
      </c>
      <c r="E295" s="103" t="s">
        <v>637</v>
      </c>
      <c r="F295" s="103">
        <v>33.435355235000003</v>
      </c>
      <c r="G295" s="103">
        <v>43.383965690700002</v>
      </c>
      <c r="H295" s="102">
        <v>1781</v>
      </c>
      <c r="I295" s="102">
        <v>10686</v>
      </c>
      <c r="J295" s="103"/>
      <c r="K295" s="103"/>
      <c r="L295" s="103">
        <v>140</v>
      </c>
      <c r="M295" s="103">
        <v>1641</v>
      </c>
      <c r="N295" s="103"/>
      <c r="O295" s="103"/>
      <c r="P295" s="103"/>
      <c r="Q295" s="103"/>
      <c r="R295" s="103"/>
      <c r="S295" s="103"/>
      <c r="T295" s="103"/>
      <c r="U295" s="103">
        <v>390</v>
      </c>
      <c r="V295" s="103"/>
      <c r="W295" s="103">
        <v>763</v>
      </c>
      <c r="X295" s="103"/>
      <c r="Y295" s="103"/>
      <c r="Z295" s="103"/>
      <c r="AA295" s="103">
        <v>217</v>
      </c>
      <c r="AB295" s="103"/>
      <c r="AC295" s="103">
        <v>411</v>
      </c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>
        <v>333</v>
      </c>
      <c r="AN295" s="103">
        <v>213</v>
      </c>
      <c r="AO295" s="103"/>
      <c r="AP295" s="103">
        <v>572</v>
      </c>
      <c r="AQ295" s="103">
        <v>663</v>
      </c>
      <c r="AR295" s="103"/>
      <c r="AS295" s="103"/>
      <c r="AT295" s="103"/>
      <c r="AU295" s="103"/>
      <c r="AV295" s="103"/>
      <c r="AW295" s="104" t="str">
        <f>HYPERLINK("http://www.openstreetmap.org/?mlat=33.4354&amp;mlon=43.384&amp;zoom=12#map=12/33.4354/43.384","Maplink1")</f>
        <v>Maplink1</v>
      </c>
      <c r="AX295" s="104" t="str">
        <f>HYPERLINK("https://www.google.iq/maps/search/+33.4354,43.384/@33.4354,43.384,14z?hl=en","Maplink2")</f>
        <v>Maplink2</v>
      </c>
      <c r="AY295" s="104" t="str">
        <f>HYPERLINK("http://www.bing.com/maps/?lvl=14&amp;sty=h&amp;cp=33.4354~43.384&amp;sp=point.33.4354_43.384","Maplink3")</f>
        <v>Maplink3</v>
      </c>
    </row>
    <row r="296" spans="1:51" x14ac:dyDescent="0.2">
      <c r="A296" s="102">
        <v>33832</v>
      </c>
      <c r="B296" s="103" t="s">
        <v>29</v>
      </c>
      <c r="C296" s="103" t="s">
        <v>83</v>
      </c>
      <c r="D296" s="103" t="s">
        <v>638</v>
      </c>
      <c r="E296" s="103" t="s">
        <v>639</v>
      </c>
      <c r="F296" s="103">
        <v>33.255400000000002</v>
      </c>
      <c r="G296" s="103">
        <v>43.333599999999997</v>
      </c>
      <c r="H296" s="102">
        <v>1358</v>
      </c>
      <c r="I296" s="102">
        <v>8148</v>
      </c>
      <c r="J296" s="103"/>
      <c r="K296" s="103"/>
      <c r="L296" s="103"/>
      <c r="M296" s="103">
        <v>1358</v>
      </c>
      <c r="N296" s="103"/>
      <c r="O296" s="103"/>
      <c r="P296" s="103"/>
      <c r="Q296" s="103"/>
      <c r="R296" s="103"/>
      <c r="S296" s="103"/>
      <c r="T296" s="103"/>
      <c r="U296" s="103">
        <v>820</v>
      </c>
      <c r="V296" s="103"/>
      <c r="W296" s="103">
        <v>267</v>
      </c>
      <c r="X296" s="103"/>
      <c r="Y296" s="103"/>
      <c r="Z296" s="103"/>
      <c r="AA296" s="103">
        <v>100</v>
      </c>
      <c r="AB296" s="103"/>
      <c r="AC296" s="103"/>
      <c r="AD296" s="103"/>
      <c r="AE296" s="103"/>
      <c r="AF296" s="103"/>
      <c r="AG296" s="103"/>
      <c r="AH296" s="103"/>
      <c r="AI296" s="103"/>
      <c r="AJ296" s="103">
        <v>171</v>
      </c>
      <c r="AK296" s="103"/>
      <c r="AL296" s="103"/>
      <c r="AM296" s="103">
        <v>1008</v>
      </c>
      <c r="AN296" s="103"/>
      <c r="AO296" s="103"/>
      <c r="AP296" s="103"/>
      <c r="AQ296" s="103"/>
      <c r="AR296" s="103">
        <v>350</v>
      </c>
      <c r="AS296" s="103"/>
      <c r="AT296" s="103"/>
      <c r="AU296" s="103"/>
      <c r="AV296" s="103"/>
      <c r="AW296" s="104" t="str">
        <f>HYPERLINK("http://www.openstreetmap.org/?mlat=33.2554&amp;mlon=43.3336&amp;zoom=12#map=12/33.2554/43.3336","Maplink1")</f>
        <v>Maplink1</v>
      </c>
      <c r="AX296" s="104" t="str">
        <f>HYPERLINK("https://www.google.iq/maps/search/+33.2554,43.3336/@33.2554,43.3336,14z?hl=en","Maplink2")</f>
        <v>Maplink2</v>
      </c>
      <c r="AY296" s="104" t="str">
        <f>HYPERLINK("http://www.bing.com/maps/?lvl=14&amp;sty=h&amp;cp=33.2554~43.3336&amp;sp=point.33.2554_43.3336","Maplink3")</f>
        <v>Maplink3</v>
      </c>
    </row>
    <row r="297" spans="1:51" x14ac:dyDescent="0.2">
      <c r="A297" s="102">
        <v>33835</v>
      </c>
      <c r="B297" s="103" t="s">
        <v>29</v>
      </c>
      <c r="C297" s="103" t="s">
        <v>83</v>
      </c>
      <c r="D297" s="103" t="s">
        <v>640</v>
      </c>
      <c r="E297" s="103" t="s">
        <v>641</v>
      </c>
      <c r="F297" s="103">
        <v>33.2423</v>
      </c>
      <c r="G297" s="103">
        <v>43.301000000000002</v>
      </c>
      <c r="H297" s="102">
        <v>430</v>
      </c>
      <c r="I297" s="102">
        <v>2580</v>
      </c>
      <c r="J297" s="103"/>
      <c r="K297" s="103"/>
      <c r="L297" s="103"/>
      <c r="M297" s="103">
        <v>430</v>
      </c>
      <c r="N297" s="103"/>
      <c r="O297" s="103"/>
      <c r="P297" s="103"/>
      <c r="Q297" s="103"/>
      <c r="R297" s="103"/>
      <c r="S297" s="103"/>
      <c r="T297" s="103"/>
      <c r="U297" s="103">
        <v>210</v>
      </c>
      <c r="V297" s="103"/>
      <c r="W297" s="103">
        <v>90</v>
      </c>
      <c r="X297" s="103"/>
      <c r="Y297" s="103"/>
      <c r="Z297" s="103"/>
      <c r="AA297" s="103">
        <v>65</v>
      </c>
      <c r="AB297" s="103"/>
      <c r="AC297" s="103">
        <v>30</v>
      </c>
      <c r="AD297" s="103"/>
      <c r="AE297" s="103"/>
      <c r="AF297" s="103"/>
      <c r="AG297" s="103"/>
      <c r="AH297" s="103"/>
      <c r="AI297" s="103"/>
      <c r="AJ297" s="103">
        <v>35</v>
      </c>
      <c r="AK297" s="103"/>
      <c r="AL297" s="103"/>
      <c r="AM297" s="103"/>
      <c r="AN297" s="103">
        <v>220</v>
      </c>
      <c r="AO297" s="103"/>
      <c r="AP297" s="103"/>
      <c r="AQ297" s="103">
        <v>210</v>
      </c>
      <c r="AR297" s="103"/>
      <c r="AS297" s="103"/>
      <c r="AT297" s="103"/>
      <c r="AU297" s="103"/>
      <c r="AV297" s="103"/>
      <c r="AW297" s="104" t="str">
        <f>HYPERLINK("http://www.openstreetmap.org/?mlat=33.2423&amp;mlon=43.301&amp;zoom=12#map=12/33.2423/43.301","Maplink1")</f>
        <v>Maplink1</v>
      </c>
      <c r="AX297" s="104" t="str">
        <f>HYPERLINK("https://www.google.iq/maps/search/+33.2423,43.301/@33.2423,43.301,14z?hl=en","Maplink2")</f>
        <v>Maplink2</v>
      </c>
      <c r="AY297" s="104" t="str">
        <f>HYPERLINK("http://www.bing.com/maps/?lvl=14&amp;sty=h&amp;cp=33.2423~43.301&amp;sp=point.33.2423_43.301","Maplink3")</f>
        <v>Maplink3</v>
      </c>
    </row>
    <row r="298" spans="1:51" x14ac:dyDescent="0.2">
      <c r="A298" s="102">
        <v>21084</v>
      </c>
      <c r="B298" s="103" t="s">
        <v>29</v>
      </c>
      <c r="C298" s="103" t="s">
        <v>83</v>
      </c>
      <c r="D298" s="103" t="s">
        <v>642</v>
      </c>
      <c r="E298" s="103" t="s">
        <v>643</v>
      </c>
      <c r="F298" s="103">
        <v>33.523815999999997</v>
      </c>
      <c r="G298" s="103">
        <v>43.147413999999998</v>
      </c>
      <c r="H298" s="102">
        <v>3647</v>
      </c>
      <c r="I298" s="102">
        <v>21882</v>
      </c>
      <c r="J298" s="103"/>
      <c r="K298" s="103"/>
      <c r="L298" s="103"/>
      <c r="M298" s="103">
        <v>3647</v>
      </c>
      <c r="N298" s="103"/>
      <c r="O298" s="103"/>
      <c r="P298" s="103"/>
      <c r="Q298" s="103"/>
      <c r="R298" s="103"/>
      <c r="S298" s="103"/>
      <c r="T298" s="103"/>
      <c r="U298" s="103">
        <v>610</v>
      </c>
      <c r="V298" s="103"/>
      <c r="W298" s="103">
        <v>1278</v>
      </c>
      <c r="X298" s="103"/>
      <c r="Y298" s="103"/>
      <c r="Z298" s="103"/>
      <c r="AA298" s="103">
        <v>594</v>
      </c>
      <c r="AB298" s="103"/>
      <c r="AC298" s="103">
        <v>495</v>
      </c>
      <c r="AD298" s="103"/>
      <c r="AE298" s="103"/>
      <c r="AF298" s="103"/>
      <c r="AG298" s="103"/>
      <c r="AH298" s="103"/>
      <c r="AI298" s="103"/>
      <c r="AJ298" s="103">
        <v>670</v>
      </c>
      <c r="AK298" s="103"/>
      <c r="AL298" s="103"/>
      <c r="AM298" s="103">
        <v>3647</v>
      </c>
      <c r="AN298" s="103"/>
      <c r="AO298" s="103"/>
      <c r="AP298" s="103"/>
      <c r="AQ298" s="103"/>
      <c r="AR298" s="103"/>
      <c r="AS298" s="103"/>
      <c r="AT298" s="103"/>
      <c r="AU298" s="103"/>
      <c r="AV298" s="103"/>
      <c r="AW298" s="104" t="str">
        <f>HYPERLINK("http://www.openstreetmap.org/?mlat=33.5238&amp;mlon=43.1474&amp;zoom=12#map=12/33.5238/43.1474","Maplink1")</f>
        <v>Maplink1</v>
      </c>
      <c r="AX298" s="104" t="str">
        <f>HYPERLINK("https://www.google.iq/maps/search/+33.5238,43.1474/@33.5238,43.1474,14z?hl=en","Maplink2")</f>
        <v>Maplink2</v>
      </c>
      <c r="AY298" s="104" t="str">
        <f>HYPERLINK("http://www.bing.com/maps/?lvl=14&amp;sty=h&amp;cp=33.5238~43.1474&amp;sp=point.33.5238_43.1474","Maplink3")</f>
        <v>Maplink3</v>
      </c>
    </row>
    <row r="299" spans="1:51" x14ac:dyDescent="0.2">
      <c r="A299" s="102">
        <v>113</v>
      </c>
      <c r="B299" s="103" t="s">
        <v>29</v>
      </c>
      <c r="C299" s="103" t="s">
        <v>83</v>
      </c>
      <c r="D299" s="103" t="s">
        <v>617</v>
      </c>
      <c r="E299" s="103" t="s">
        <v>618</v>
      </c>
      <c r="F299" s="103">
        <v>33.4077695139</v>
      </c>
      <c r="G299" s="103">
        <v>43.4697731758</v>
      </c>
      <c r="H299" s="102">
        <v>1881</v>
      </c>
      <c r="I299" s="102">
        <v>11286</v>
      </c>
      <c r="J299" s="103"/>
      <c r="K299" s="103"/>
      <c r="L299" s="103"/>
      <c r="M299" s="103">
        <v>1881</v>
      </c>
      <c r="N299" s="103"/>
      <c r="O299" s="103"/>
      <c r="P299" s="103"/>
      <c r="Q299" s="103"/>
      <c r="R299" s="103"/>
      <c r="S299" s="103"/>
      <c r="T299" s="103"/>
      <c r="U299" s="103">
        <v>977</v>
      </c>
      <c r="V299" s="103">
        <v>46</v>
      </c>
      <c r="W299" s="103">
        <v>286</v>
      </c>
      <c r="X299" s="103"/>
      <c r="Y299" s="103"/>
      <c r="Z299" s="103"/>
      <c r="AA299" s="103">
        <v>135</v>
      </c>
      <c r="AB299" s="103"/>
      <c r="AC299" s="103">
        <v>387</v>
      </c>
      <c r="AD299" s="103"/>
      <c r="AE299" s="103"/>
      <c r="AF299" s="103"/>
      <c r="AG299" s="103"/>
      <c r="AH299" s="103"/>
      <c r="AI299" s="103"/>
      <c r="AJ299" s="103">
        <v>50</v>
      </c>
      <c r="AK299" s="103"/>
      <c r="AL299" s="103"/>
      <c r="AM299" s="103">
        <v>108</v>
      </c>
      <c r="AN299" s="103"/>
      <c r="AO299" s="103"/>
      <c r="AP299" s="103">
        <v>536</v>
      </c>
      <c r="AQ299" s="103">
        <v>1079</v>
      </c>
      <c r="AR299" s="103">
        <v>158</v>
      </c>
      <c r="AS299" s="103"/>
      <c r="AT299" s="103"/>
      <c r="AU299" s="103"/>
      <c r="AV299" s="103"/>
      <c r="AW299" s="104" t="str">
        <f>HYPERLINK("http://www.openstreetmap.org/?mlat=33.4078&amp;mlon=43.4698&amp;zoom=12#map=12/33.4078/43.4698","Maplink1")</f>
        <v>Maplink1</v>
      </c>
      <c r="AX299" s="104" t="str">
        <f>HYPERLINK("https://www.google.iq/maps/search/+33.4078,43.4698/@33.4078,43.4698,14z?hl=en","Maplink2")</f>
        <v>Maplink2</v>
      </c>
      <c r="AY299" s="104" t="str">
        <f>HYPERLINK("http://www.bing.com/maps/?lvl=14&amp;sty=h&amp;cp=33.4078~43.4698&amp;sp=point.33.4078_43.4698","Maplink3")</f>
        <v>Maplink3</v>
      </c>
    </row>
    <row r="300" spans="1:51" x14ac:dyDescent="0.2">
      <c r="A300" s="102">
        <v>29581</v>
      </c>
      <c r="B300" s="103" t="s">
        <v>29</v>
      </c>
      <c r="C300" s="103" t="s">
        <v>83</v>
      </c>
      <c r="D300" s="103" t="s">
        <v>619</v>
      </c>
      <c r="E300" s="103" t="s">
        <v>620</v>
      </c>
      <c r="F300" s="103">
        <v>33.415472999999999</v>
      </c>
      <c r="G300" s="103">
        <v>43.280338038799997</v>
      </c>
      <c r="H300" s="102">
        <v>1657</v>
      </c>
      <c r="I300" s="102">
        <v>9942</v>
      </c>
      <c r="J300" s="103"/>
      <c r="K300" s="103"/>
      <c r="L300" s="103">
        <v>45</v>
      </c>
      <c r="M300" s="103">
        <v>1612</v>
      </c>
      <c r="N300" s="103"/>
      <c r="O300" s="103"/>
      <c r="P300" s="103"/>
      <c r="Q300" s="103"/>
      <c r="R300" s="103"/>
      <c r="S300" s="103"/>
      <c r="T300" s="103"/>
      <c r="U300" s="103">
        <v>214</v>
      </c>
      <c r="V300" s="103"/>
      <c r="W300" s="103">
        <v>690</v>
      </c>
      <c r="X300" s="103"/>
      <c r="Y300" s="103"/>
      <c r="Z300" s="103"/>
      <c r="AA300" s="103">
        <v>190</v>
      </c>
      <c r="AB300" s="103"/>
      <c r="AC300" s="103">
        <v>374</v>
      </c>
      <c r="AD300" s="103"/>
      <c r="AE300" s="103"/>
      <c r="AF300" s="103"/>
      <c r="AG300" s="103"/>
      <c r="AH300" s="103"/>
      <c r="AI300" s="103"/>
      <c r="AJ300" s="103">
        <v>189</v>
      </c>
      <c r="AK300" s="103"/>
      <c r="AL300" s="103"/>
      <c r="AM300" s="103">
        <v>235</v>
      </c>
      <c r="AN300" s="103">
        <v>329</v>
      </c>
      <c r="AO300" s="103"/>
      <c r="AP300" s="103">
        <v>537</v>
      </c>
      <c r="AQ300" s="103">
        <v>556</v>
      </c>
      <c r="AR300" s="103"/>
      <c r="AS300" s="103"/>
      <c r="AT300" s="103"/>
      <c r="AU300" s="103"/>
      <c r="AV300" s="103"/>
      <c r="AW300" s="104" t="str">
        <f>HYPERLINK("http://www.openstreetmap.org/?mlat=33.4155&amp;mlon=43.2803&amp;zoom=12#map=12/33.4155/43.2803","Maplink1")</f>
        <v>Maplink1</v>
      </c>
      <c r="AX300" s="104" t="str">
        <f>HYPERLINK("https://www.google.iq/maps/search/+33.4155,43.2803/@33.4155,43.2803,14z?hl=en","Maplink2")</f>
        <v>Maplink2</v>
      </c>
      <c r="AY300" s="104" t="str">
        <f>HYPERLINK("http://www.bing.com/maps/?lvl=14&amp;sty=h&amp;cp=33.4155~43.2803&amp;sp=point.33.4155_43.2803","Maplink3")</f>
        <v>Maplink3</v>
      </c>
    </row>
    <row r="301" spans="1:51" x14ac:dyDescent="0.2">
      <c r="A301" s="102">
        <v>33831</v>
      </c>
      <c r="B301" s="103" t="s">
        <v>29</v>
      </c>
      <c r="C301" s="103" t="s">
        <v>83</v>
      </c>
      <c r="D301" s="103" t="s">
        <v>621</v>
      </c>
      <c r="E301" s="103" t="s">
        <v>622</v>
      </c>
      <c r="F301" s="103">
        <v>33.243400000000001</v>
      </c>
      <c r="G301" s="103">
        <v>43.323099999999997</v>
      </c>
      <c r="H301" s="102">
        <v>463</v>
      </c>
      <c r="I301" s="102">
        <v>2778</v>
      </c>
      <c r="J301" s="103"/>
      <c r="K301" s="103"/>
      <c r="L301" s="103"/>
      <c r="M301" s="103">
        <v>463</v>
      </c>
      <c r="N301" s="103"/>
      <c r="O301" s="103"/>
      <c r="P301" s="103"/>
      <c r="Q301" s="103"/>
      <c r="R301" s="103"/>
      <c r="S301" s="103"/>
      <c r="T301" s="103"/>
      <c r="U301" s="103">
        <v>180</v>
      </c>
      <c r="V301" s="103"/>
      <c r="W301" s="103">
        <v>120</v>
      </c>
      <c r="X301" s="103"/>
      <c r="Y301" s="103"/>
      <c r="Z301" s="103"/>
      <c r="AA301" s="103">
        <v>100</v>
      </c>
      <c r="AB301" s="103"/>
      <c r="AC301" s="103"/>
      <c r="AD301" s="103"/>
      <c r="AE301" s="103"/>
      <c r="AF301" s="103"/>
      <c r="AG301" s="103"/>
      <c r="AH301" s="103"/>
      <c r="AI301" s="103"/>
      <c r="AJ301" s="103">
        <v>63</v>
      </c>
      <c r="AK301" s="103"/>
      <c r="AL301" s="103"/>
      <c r="AM301" s="103">
        <v>220</v>
      </c>
      <c r="AN301" s="103"/>
      <c r="AO301" s="103"/>
      <c r="AP301" s="103"/>
      <c r="AQ301" s="103">
        <v>243</v>
      </c>
      <c r="AR301" s="103"/>
      <c r="AS301" s="103"/>
      <c r="AT301" s="103"/>
      <c r="AU301" s="103"/>
      <c r="AV301" s="103"/>
      <c r="AW301" s="104" t="str">
        <f>HYPERLINK("http://www.openstreetmap.org/?mlat=33.2434&amp;mlon=43.3231&amp;zoom=12#map=12/33.2434/43.3231","Maplink1")</f>
        <v>Maplink1</v>
      </c>
      <c r="AX301" s="104" t="str">
        <f>HYPERLINK("https://www.google.iq/maps/search/+33.2434,43.3231/@33.2434,43.3231,14z?hl=en","Maplink2")</f>
        <v>Maplink2</v>
      </c>
      <c r="AY301" s="104" t="str">
        <f>HYPERLINK("http://www.bing.com/maps/?lvl=14&amp;sty=h&amp;cp=33.2434~43.3231&amp;sp=point.33.2434_43.3231","Maplink3")</f>
        <v>Maplink3</v>
      </c>
    </row>
    <row r="302" spans="1:51" x14ac:dyDescent="0.2">
      <c r="A302" s="102">
        <v>23850</v>
      </c>
      <c r="B302" s="103" t="s">
        <v>29</v>
      </c>
      <c r="C302" s="103" t="s">
        <v>83</v>
      </c>
      <c r="D302" s="103" t="s">
        <v>667</v>
      </c>
      <c r="E302" s="103" t="s">
        <v>668</v>
      </c>
      <c r="F302" s="103">
        <v>33.409386009499997</v>
      </c>
      <c r="G302" s="103">
        <v>43.181600231099999</v>
      </c>
      <c r="H302" s="102">
        <v>78</v>
      </c>
      <c r="I302" s="102">
        <v>468</v>
      </c>
      <c r="J302" s="103"/>
      <c r="K302" s="103"/>
      <c r="L302" s="103"/>
      <c r="M302" s="103">
        <v>78</v>
      </c>
      <c r="N302" s="103"/>
      <c r="O302" s="103"/>
      <c r="P302" s="103"/>
      <c r="Q302" s="103"/>
      <c r="R302" s="103"/>
      <c r="S302" s="103"/>
      <c r="T302" s="103"/>
      <c r="U302" s="103">
        <v>44</v>
      </c>
      <c r="V302" s="103"/>
      <c r="W302" s="103">
        <v>23</v>
      </c>
      <c r="X302" s="103"/>
      <c r="Y302" s="103"/>
      <c r="Z302" s="103"/>
      <c r="AA302" s="103">
        <v>11</v>
      </c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>
        <v>30</v>
      </c>
      <c r="AN302" s="103"/>
      <c r="AO302" s="103"/>
      <c r="AP302" s="103">
        <v>23</v>
      </c>
      <c r="AQ302" s="103"/>
      <c r="AR302" s="103">
        <v>25</v>
      </c>
      <c r="AS302" s="103"/>
      <c r="AT302" s="103"/>
      <c r="AU302" s="103"/>
      <c r="AV302" s="103"/>
      <c r="AW302" s="104" t="str">
        <f>HYPERLINK("http://www.openstreetmap.org/?mlat=33.4094&amp;mlon=43.1816&amp;zoom=12#map=12/33.4094/43.1816","Maplink1")</f>
        <v>Maplink1</v>
      </c>
      <c r="AX302" s="104" t="str">
        <f>HYPERLINK("https://www.google.iq/maps/search/+33.4094,43.1816/@33.4094,43.1816,14z?hl=en","Maplink2")</f>
        <v>Maplink2</v>
      </c>
      <c r="AY302" s="104" t="str">
        <f>HYPERLINK("http://www.bing.com/maps/?lvl=14&amp;sty=h&amp;cp=33.4094~43.1816&amp;sp=point.33.4094_43.1816","Maplink3")</f>
        <v>Maplink3</v>
      </c>
    </row>
    <row r="303" spans="1:51" x14ac:dyDescent="0.2">
      <c r="A303" s="102">
        <v>23760</v>
      </c>
      <c r="B303" s="103" t="s">
        <v>29</v>
      </c>
      <c r="C303" s="103" t="s">
        <v>83</v>
      </c>
      <c r="D303" s="103" t="s">
        <v>669</v>
      </c>
      <c r="E303" s="103" t="s">
        <v>670</v>
      </c>
      <c r="F303" s="103">
        <v>33.410691393999997</v>
      </c>
      <c r="G303" s="103">
        <v>43.172839000000003</v>
      </c>
      <c r="H303" s="102">
        <v>433</v>
      </c>
      <c r="I303" s="102">
        <v>2598</v>
      </c>
      <c r="J303" s="103"/>
      <c r="K303" s="103"/>
      <c r="L303" s="103"/>
      <c r="M303" s="103">
        <v>433</v>
      </c>
      <c r="N303" s="103"/>
      <c r="O303" s="103"/>
      <c r="P303" s="103"/>
      <c r="Q303" s="103"/>
      <c r="R303" s="103"/>
      <c r="S303" s="103"/>
      <c r="T303" s="103"/>
      <c r="U303" s="103">
        <v>56</v>
      </c>
      <c r="V303" s="103">
        <v>26</v>
      </c>
      <c r="W303" s="103">
        <v>89</v>
      </c>
      <c r="X303" s="103"/>
      <c r="Y303" s="103"/>
      <c r="Z303" s="103">
        <v>36</v>
      </c>
      <c r="AA303" s="103">
        <v>128</v>
      </c>
      <c r="AB303" s="103"/>
      <c r="AC303" s="103"/>
      <c r="AD303" s="103"/>
      <c r="AE303" s="103"/>
      <c r="AF303" s="103"/>
      <c r="AG303" s="103"/>
      <c r="AH303" s="103"/>
      <c r="AI303" s="103"/>
      <c r="AJ303" s="103">
        <v>98</v>
      </c>
      <c r="AK303" s="103"/>
      <c r="AL303" s="103"/>
      <c r="AM303" s="103">
        <v>433</v>
      </c>
      <c r="AN303" s="103"/>
      <c r="AO303" s="103"/>
      <c r="AP303" s="103"/>
      <c r="AQ303" s="103"/>
      <c r="AR303" s="103"/>
      <c r="AS303" s="103"/>
      <c r="AT303" s="103"/>
      <c r="AU303" s="103"/>
      <c r="AV303" s="103"/>
      <c r="AW303" s="104" t="str">
        <f>HYPERLINK("http://www.openstreetmap.org/?mlat=33.4107&amp;mlon=43.1728&amp;zoom=12#map=12/33.4107/43.1728","Maplink1")</f>
        <v>Maplink1</v>
      </c>
      <c r="AX303" s="104" t="str">
        <f>HYPERLINK("https://www.google.iq/maps/search/+33.4107,43.1728/@33.4107,43.1728,14z?hl=en","Maplink2")</f>
        <v>Maplink2</v>
      </c>
      <c r="AY303" s="104" t="str">
        <f>HYPERLINK("http://www.bing.com/maps/?lvl=14&amp;sty=h&amp;cp=33.4107~43.1728&amp;sp=point.33.4107_43.1728","Maplink3")</f>
        <v>Maplink3</v>
      </c>
    </row>
    <row r="304" spans="1:51" x14ac:dyDescent="0.2">
      <c r="A304" s="102">
        <v>210</v>
      </c>
      <c r="B304" s="103" t="s">
        <v>29</v>
      </c>
      <c r="C304" s="103" t="s">
        <v>83</v>
      </c>
      <c r="D304" s="103" t="s">
        <v>671</v>
      </c>
      <c r="E304" s="103" t="s">
        <v>672</v>
      </c>
      <c r="F304" s="103">
        <v>33.42033</v>
      </c>
      <c r="G304" s="103">
        <v>43.2724365742</v>
      </c>
      <c r="H304" s="102">
        <v>1169</v>
      </c>
      <c r="I304" s="102">
        <v>7014</v>
      </c>
      <c r="J304" s="103"/>
      <c r="K304" s="103"/>
      <c r="L304" s="103"/>
      <c r="M304" s="103">
        <v>1169</v>
      </c>
      <c r="N304" s="103"/>
      <c r="O304" s="103"/>
      <c r="P304" s="103"/>
      <c r="Q304" s="103"/>
      <c r="R304" s="103"/>
      <c r="S304" s="103"/>
      <c r="T304" s="103"/>
      <c r="U304" s="103">
        <v>483</v>
      </c>
      <c r="V304" s="103">
        <v>105</v>
      </c>
      <c r="W304" s="103">
        <v>215</v>
      </c>
      <c r="X304" s="103"/>
      <c r="Y304" s="103"/>
      <c r="Z304" s="103"/>
      <c r="AA304" s="103">
        <v>236</v>
      </c>
      <c r="AB304" s="103"/>
      <c r="AC304" s="103">
        <v>130</v>
      </c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>
        <v>82</v>
      </c>
      <c r="AN304" s="103">
        <v>230</v>
      </c>
      <c r="AO304" s="103"/>
      <c r="AP304" s="103">
        <v>583</v>
      </c>
      <c r="AQ304" s="103">
        <v>274</v>
      </c>
      <c r="AR304" s="103"/>
      <c r="AS304" s="103"/>
      <c r="AT304" s="103"/>
      <c r="AU304" s="103"/>
      <c r="AV304" s="103"/>
      <c r="AW304" s="104" t="str">
        <f>HYPERLINK("http://www.openstreetmap.org/?mlat=33.4203&amp;mlon=43.2724&amp;zoom=12#map=12/33.4203/43.2724","Maplink1")</f>
        <v>Maplink1</v>
      </c>
      <c r="AX304" s="104" t="str">
        <f>HYPERLINK("https://www.google.iq/maps/search/+33.4203,43.2724/@33.4203,43.2724,14z?hl=en","Maplink2")</f>
        <v>Maplink2</v>
      </c>
      <c r="AY304" s="104" t="str">
        <f>HYPERLINK("http://www.bing.com/maps/?lvl=14&amp;sty=h&amp;cp=33.4203~43.2724&amp;sp=point.33.4203_43.2724","Maplink3")</f>
        <v>Maplink3</v>
      </c>
    </row>
    <row r="305" spans="1:51" x14ac:dyDescent="0.2">
      <c r="A305" s="102">
        <v>21086</v>
      </c>
      <c r="B305" s="103" t="s">
        <v>29</v>
      </c>
      <c r="C305" s="103" t="s">
        <v>83</v>
      </c>
      <c r="D305" s="103" t="s">
        <v>673</v>
      </c>
      <c r="E305" s="103" t="s">
        <v>674</v>
      </c>
      <c r="F305" s="103">
        <v>33.496578</v>
      </c>
      <c r="G305" s="103">
        <v>43.202314999999999</v>
      </c>
      <c r="H305" s="102">
        <v>1775</v>
      </c>
      <c r="I305" s="102">
        <v>10650</v>
      </c>
      <c r="J305" s="103"/>
      <c r="K305" s="103"/>
      <c r="L305" s="103"/>
      <c r="M305" s="103">
        <v>1775</v>
      </c>
      <c r="N305" s="103"/>
      <c r="O305" s="103"/>
      <c r="P305" s="103"/>
      <c r="Q305" s="103"/>
      <c r="R305" s="103"/>
      <c r="S305" s="103"/>
      <c r="T305" s="103"/>
      <c r="U305" s="103">
        <v>370</v>
      </c>
      <c r="V305" s="103"/>
      <c r="W305" s="103">
        <v>350</v>
      </c>
      <c r="X305" s="103"/>
      <c r="Y305" s="103"/>
      <c r="Z305" s="103"/>
      <c r="AA305" s="103">
        <v>420</v>
      </c>
      <c r="AB305" s="103"/>
      <c r="AC305" s="103">
        <v>501</v>
      </c>
      <c r="AD305" s="103"/>
      <c r="AE305" s="103"/>
      <c r="AF305" s="103"/>
      <c r="AG305" s="103"/>
      <c r="AH305" s="103"/>
      <c r="AI305" s="103"/>
      <c r="AJ305" s="103">
        <v>134</v>
      </c>
      <c r="AK305" s="103"/>
      <c r="AL305" s="103"/>
      <c r="AM305" s="103">
        <v>1775</v>
      </c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4" t="str">
        <f>HYPERLINK("http://www.openstreetmap.org/?mlat=33.4966&amp;mlon=43.2023&amp;zoom=12#map=12/33.4966/43.2023","Maplink1")</f>
        <v>Maplink1</v>
      </c>
      <c r="AX305" s="104" t="str">
        <f>HYPERLINK("https://www.google.iq/maps/search/+33.4966,43.2023/@33.4966,43.2023,14z?hl=en","Maplink2")</f>
        <v>Maplink2</v>
      </c>
      <c r="AY305" s="104" t="str">
        <f>HYPERLINK("http://www.bing.com/maps/?lvl=14&amp;sty=h&amp;cp=33.4966~43.2023&amp;sp=point.33.4966_43.2023","Maplink3")</f>
        <v>Maplink3</v>
      </c>
    </row>
    <row r="306" spans="1:51" x14ac:dyDescent="0.2">
      <c r="A306" s="102">
        <v>33963</v>
      </c>
      <c r="B306" s="103" t="s">
        <v>29</v>
      </c>
      <c r="C306" s="103" t="s">
        <v>83</v>
      </c>
      <c r="D306" s="103" t="s">
        <v>675</v>
      </c>
      <c r="E306" s="103" t="s">
        <v>676</v>
      </c>
      <c r="F306" s="103">
        <v>33.428910000000002</v>
      </c>
      <c r="G306" s="103">
        <v>43.237659000000001</v>
      </c>
      <c r="H306" s="102">
        <v>320</v>
      </c>
      <c r="I306" s="102">
        <v>1920</v>
      </c>
      <c r="J306" s="103"/>
      <c r="K306" s="103"/>
      <c r="L306" s="103"/>
      <c r="M306" s="103">
        <v>320</v>
      </c>
      <c r="N306" s="103"/>
      <c r="O306" s="103"/>
      <c r="P306" s="103"/>
      <c r="Q306" s="103"/>
      <c r="R306" s="103"/>
      <c r="S306" s="103"/>
      <c r="T306" s="103"/>
      <c r="U306" s="103">
        <v>96</v>
      </c>
      <c r="V306" s="103"/>
      <c r="W306" s="103">
        <v>108</v>
      </c>
      <c r="X306" s="103"/>
      <c r="Y306" s="103"/>
      <c r="Z306" s="103"/>
      <c r="AA306" s="103">
        <v>36</v>
      </c>
      <c r="AB306" s="103"/>
      <c r="AC306" s="103"/>
      <c r="AD306" s="103"/>
      <c r="AE306" s="103"/>
      <c r="AF306" s="103"/>
      <c r="AG306" s="103"/>
      <c r="AH306" s="103"/>
      <c r="AI306" s="103"/>
      <c r="AJ306" s="103">
        <v>80</v>
      </c>
      <c r="AK306" s="103"/>
      <c r="AL306" s="103"/>
      <c r="AM306" s="103">
        <v>320</v>
      </c>
      <c r="AN306" s="103"/>
      <c r="AO306" s="103"/>
      <c r="AP306" s="103"/>
      <c r="AQ306" s="103"/>
      <c r="AR306" s="103"/>
      <c r="AS306" s="103"/>
      <c r="AT306" s="103"/>
      <c r="AU306" s="103"/>
      <c r="AV306" s="103"/>
      <c r="AW306" s="104" t="str">
        <f>HYPERLINK("http://www.openstreetmap.org/?mlat=33.4289&amp;mlon=43.2377&amp;zoom=12#map=12/33.4289/43.2377","Maplink1")</f>
        <v>Maplink1</v>
      </c>
      <c r="AX306" s="104" t="str">
        <f>HYPERLINK("https://www.google.iq/maps/search/+33.4289,43.2377/@33.4289,43.2377,14z?hl=en","Maplink2")</f>
        <v>Maplink2</v>
      </c>
      <c r="AY306" s="104" t="str">
        <f>HYPERLINK("http://www.bing.com/maps/?lvl=14&amp;sty=h&amp;cp=33.4289~43.2377&amp;sp=point.33.4289_43.2377","Maplink3")</f>
        <v>Maplink3</v>
      </c>
    </row>
    <row r="307" spans="1:51" x14ac:dyDescent="0.2">
      <c r="A307" s="102">
        <v>23853</v>
      </c>
      <c r="B307" s="103" t="s">
        <v>29</v>
      </c>
      <c r="C307" s="103" t="s">
        <v>83</v>
      </c>
      <c r="D307" s="103" t="s">
        <v>644</v>
      </c>
      <c r="E307" s="103" t="s">
        <v>645</v>
      </c>
      <c r="F307" s="103">
        <v>33.3781144027</v>
      </c>
      <c r="G307" s="103">
        <v>43.5952427621</v>
      </c>
      <c r="H307" s="102">
        <v>568</v>
      </c>
      <c r="I307" s="102">
        <v>3408</v>
      </c>
      <c r="J307" s="103"/>
      <c r="K307" s="103"/>
      <c r="L307" s="103">
        <v>87</v>
      </c>
      <c r="M307" s="103">
        <v>425</v>
      </c>
      <c r="N307" s="103">
        <v>56</v>
      </c>
      <c r="O307" s="103"/>
      <c r="P307" s="103"/>
      <c r="Q307" s="103"/>
      <c r="R307" s="103"/>
      <c r="S307" s="103"/>
      <c r="T307" s="103"/>
      <c r="U307" s="103">
        <v>189</v>
      </c>
      <c r="V307" s="103"/>
      <c r="W307" s="103">
        <v>86</v>
      </c>
      <c r="X307" s="103"/>
      <c r="Y307" s="103">
        <v>56</v>
      </c>
      <c r="Z307" s="103"/>
      <c r="AA307" s="103"/>
      <c r="AB307" s="103"/>
      <c r="AC307" s="103">
        <v>237</v>
      </c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>
        <v>258</v>
      </c>
      <c r="AN307" s="103">
        <v>79</v>
      </c>
      <c r="AO307" s="103"/>
      <c r="AP307" s="103">
        <v>56</v>
      </c>
      <c r="AQ307" s="103">
        <v>149</v>
      </c>
      <c r="AR307" s="103">
        <v>26</v>
      </c>
      <c r="AS307" s="103"/>
      <c r="AT307" s="103"/>
      <c r="AU307" s="103"/>
      <c r="AV307" s="103"/>
      <c r="AW307" s="104" t="str">
        <f>HYPERLINK("http://www.openstreetmap.org/?mlat=33.3781&amp;mlon=43.5952&amp;zoom=12#map=12/33.3781/43.5952","Maplink1")</f>
        <v>Maplink1</v>
      </c>
      <c r="AX307" s="104" t="str">
        <f>HYPERLINK("https://www.google.iq/maps/search/+33.3781,43.5952/@33.3781,43.5952,14z?hl=en","Maplink2")</f>
        <v>Maplink2</v>
      </c>
      <c r="AY307" s="104" t="str">
        <f>HYPERLINK("http://www.bing.com/maps/?lvl=14&amp;sty=h&amp;cp=33.3781~43.5952&amp;sp=point.33.3781_43.5952","Maplink3")</f>
        <v>Maplink3</v>
      </c>
    </row>
    <row r="308" spans="1:51" x14ac:dyDescent="0.2">
      <c r="A308" s="102">
        <v>182</v>
      </c>
      <c r="B308" s="103" t="s">
        <v>29</v>
      </c>
      <c r="C308" s="103" t="s">
        <v>83</v>
      </c>
      <c r="D308" s="103" t="s">
        <v>646</v>
      </c>
      <c r="E308" s="103" t="s">
        <v>647</v>
      </c>
      <c r="F308" s="103">
        <v>33.412449686400002</v>
      </c>
      <c r="G308" s="103">
        <v>43.274909101600002</v>
      </c>
      <c r="H308" s="102">
        <v>1642</v>
      </c>
      <c r="I308" s="102">
        <v>9852</v>
      </c>
      <c r="J308" s="103"/>
      <c r="K308" s="103"/>
      <c r="L308" s="103">
        <v>132</v>
      </c>
      <c r="M308" s="103">
        <v>1483</v>
      </c>
      <c r="N308" s="103">
        <v>27</v>
      </c>
      <c r="O308" s="103"/>
      <c r="P308" s="103"/>
      <c r="Q308" s="103"/>
      <c r="R308" s="103"/>
      <c r="S308" s="103"/>
      <c r="T308" s="103"/>
      <c r="U308" s="103">
        <v>650</v>
      </c>
      <c r="V308" s="103"/>
      <c r="W308" s="103">
        <v>451</v>
      </c>
      <c r="X308" s="103"/>
      <c r="Y308" s="103"/>
      <c r="Z308" s="103"/>
      <c r="AA308" s="103">
        <v>261</v>
      </c>
      <c r="AB308" s="103"/>
      <c r="AC308" s="103">
        <v>230</v>
      </c>
      <c r="AD308" s="103"/>
      <c r="AE308" s="103"/>
      <c r="AF308" s="103"/>
      <c r="AG308" s="103"/>
      <c r="AH308" s="103"/>
      <c r="AI308" s="103"/>
      <c r="AJ308" s="103">
        <v>50</v>
      </c>
      <c r="AK308" s="103"/>
      <c r="AL308" s="103"/>
      <c r="AM308" s="103">
        <v>1041</v>
      </c>
      <c r="AN308" s="103">
        <v>130</v>
      </c>
      <c r="AO308" s="103"/>
      <c r="AP308" s="103">
        <v>182</v>
      </c>
      <c r="AQ308" s="103">
        <v>289</v>
      </c>
      <c r="AR308" s="103"/>
      <c r="AS308" s="103"/>
      <c r="AT308" s="103"/>
      <c r="AU308" s="103"/>
      <c r="AV308" s="103"/>
      <c r="AW308" s="104" t="str">
        <f>HYPERLINK("http://www.openstreetmap.org/?mlat=33.4124&amp;mlon=43.2749&amp;zoom=12#map=12/33.4124/43.2749","Maplink1")</f>
        <v>Maplink1</v>
      </c>
      <c r="AX308" s="104" t="str">
        <f>HYPERLINK("https://www.google.iq/maps/search/+33.4124,43.2749/@33.4124,43.2749,14z?hl=en","Maplink2")</f>
        <v>Maplink2</v>
      </c>
      <c r="AY308" s="104" t="str">
        <f>HYPERLINK("http://www.bing.com/maps/?lvl=14&amp;sty=h&amp;cp=33.4124~43.2749&amp;sp=point.33.4124_43.2749","Maplink3")</f>
        <v>Maplink3</v>
      </c>
    </row>
    <row r="309" spans="1:51" x14ac:dyDescent="0.2">
      <c r="A309" s="102">
        <v>23856</v>
      </c>
      <c r="B309" s="103" t="s">
        <v>29</v>
      </c>
      <c r="C309" s="103" t="s">
        <v>83</v>
      </c>
      <c r="D309" s="103" t="s">
        <v>648</v>
      </c>
      <c r="E309" s="103" t="s">
        <v>649</v>
      </c>
      <c r="F309" s="103">
        <v>33.386854905900002</v>
      </c>
      <c r="G309" s="103">
        <v>43.605154227600003</v>
      </c>
      <c r="H309" s="102">
        <v>536</v>
      </c>
      <c r="I309" s="102">
        <v>3216</v>
      </c>
      <c r="J309" s="103"/>
      <c r="K309" s="103"/>
      <c r="L309" s="103">
        <v>65</v>
      </c>
      <c r="M309" s="103">
        <v>471</v>
      </c>
      <c r="N309" s="103"/>
      <c r="O309" s="103"/>
      <c r="P309" s="103"/>
      <c r="Q309" s="103"/>
      <c r="R309" s="103"/>
      <c r="S309" s="103"/>
      <c r="T309" s="103"/>
      <c r="U309" s="103">
        <v>318</v>
      </c>
      <c r="V309" s="103"/>
      <c r="W309" s="103"/>
      <c r="X309" s="103"/>
      <c r="Y309" s="103"/>
      <c r="Z309" s="103"/>
      <c r="AA309" s="103"/>
      <c r="AB309" s="103"/>
      <c r="AC309" s="103">
        <v>218</v>
      </c>
      <c r="AD309" s="103"/>
      <c r="AE309" s="103"/>
      <c r="AF309" s="103"/>
      <c r="AG309" s="103"/>
      <c r="AH309" s="103"/>
      <c r="AI309" s="103"/>
      <c r="AJ309" s="103"/>
      <c r="AK309" s="103"/>
      <c r="AL309" s="103"/>
      <c r="AM309" s="103"/>
      <c r="AN309" s="103"/>
      <c r="AO309" s="103"/>
      <c r="AP309" s="103">
        <v>218</v>
      </c>
      <c r="AQ309" s="103">
        <v>250</v>
      </c>
      <c r="AR309" s="103">
        <v>68</v>
      </c>
      <c r="AS309" s="103"/>
      <c r="AT309" s="103"/>
      <c r="AU309" s="103"/>
      <c r="AV309" s="103"/>
      <c r="AW309" s="104" t="str">
        <f>HYPERLINK("http://www.openstreetmap.org/?mlat=33.3869&amp;mlon=43.6052&amp;zoom=12#map=12/33.3869/43.6052","Maplink1")</f>
        <v>Maplink1</v>
      </c>
      <c r="AX309" s="104" t="str">
        <f>HYPERLINK("https://www.google.iq/maps/search/+33.3869,43.6052/@33.3869,43.6052,14z?hl=en","Maplink2")</f>
        <v>Maplink2</v>
      </c>
      <c r="AY309" s="104" t="str">
        <f>HYPERLINK("http://www.bing.com/maps/?lvl=14&amp;sty=h&amp;cp=33.3869~43.6052&amp;sp=point.33.3869_43.6052","Maplink3")</f>
        <v>Maplink3</v>
      </c>
    </row>
    <row r="310" spans="1:51" x14ac:dyDescent="0.2">
      <c r="A310" s="102">
        <v>23887</v>
      </c>
      <c r="B310" s="103" t="s">
        <v>29</v>
      </c>
      <c r="C310" s="103" t="s">
        <v>83</v>
      </c>
      <c r="D310" s="103" t="s">
        <v>604</v>
      </c>
      <c r="E310" s="103" t="s">
        <v>284</v>
      </c>
      <c r="F310" s="103">
        <v>33.380234977000001</v>
      </c>
      <c r="G310" s="103">
        <v>43.5315629949</v>
      </c>
      <c r="H310" s="102">
        <v>463</v>
      </c>
      <c r="I310" s="102">
        <v>2778</v>
      </c>
      <c r="J310" s="103"/>
      <c r="K310" s="103"/>
      <c r="L310" s="103"/>
      <c r="M310" s="103">
        <v>463</v>
      </c>
      <c r="N310" s="103"/>
      <c r="O310" s="103"/>
      <c r="P310" s="103"/>
      <c r="Q310" s="103"/>
      <c r="R310" s="103"/>
      <c r="S310" s="103"/>
      <c r="T310" s="103"/>
      <c r="U310" s="103">
        <v>23</v>
      </c>
      <c r="V310" s="103"/>
      <c r="W310" s="103">
        <v>109</v>
      </c>
      <c r="X310" s="103"/>
      <c r="Y310" s="103">
        <v>80</v>
      </c>
      <c r="Z310" s="103"/>
      <c r="AA310" s="103">
        <v>77</v>
      </c>
      <c r="AB310" s="103"/>
      <c r="AC310" s="103">
        <v>174</v>
      </c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>
        <v>23</v>
      </c>
      <c r="AN310" s="103"/>
      <c r="AO310" s="103"/>
      <c r="AP310" s="103">
        <v>80</v>
      </c>
      <c r="AQ310" s="103">
        <v>360</v>
      </c>
      <c r="AR310" s="103"/>
      <c r="AS310" s="103"/>
      <c r="AT310" s="103"/>
      <c r="AU310" s="103"/>
      <c r="AV310" s="103"/>
      <c r="AW310" s="104" t="str">
        <f>HYPERLINK("http://www.openstreetmap.org/?mlat=33.3802&amp;mlon=43.5316&amp;zoom=12#map=12/33.3802/43.5316","Maplink1")</f>
        <v>Maplink1</v>
      </c>
      <c r="AX310" s="104" t="str">
        <f>HYPERLINK("https://www.google.iq/maps/search/+33.3802,43.5316/@33.3802,43.5316,14z?hl=en","Maplink2")</f>
        <v>Maplink2</v>
      </c>
      <c r="AY310" s="104" t="str">
        <f>HYPERLINK("http://www.bing.com/maps/?lvl=14&amp;sty=h&amp;cp=33.3802~43.5316&amp;sp=point.33.3802_43.5316","Maplink3")</f>
        <v>Maplink3</v>
      </c>
    </row>
    <row r="311" spans="1:51" x14ac:dyDescent="0.2">
      <c r="A311" s="102">
        <v>23023</v>
      </c>
      <c r="B311" s="103" t="s">
        <v>29</v>
      </c>
      <c r="C311" s="103" t="s">
        <v>83</v>
      </c>
      <c r="D311" s="103" t="s">
        <v>605</v>
      </c>
      <c r="E311" s="103" t="s">
        <v>606</v>
      </c>
      <c r="F311" s="103">
        <v>33.422249999999998</v>
      </c>
      <c r="G311" s="103">
        <v>43.321278572700002</v>
      </c>
      <c r="H311" s="102">
        <v>2007</v>
      </c>
      <c r="I311" s="102">
        <v>12042</v>
      </c>
      <c r="J311" s="103"/>
      <c r="K311" s="103"/>
      <c r="L311" s="103">
        <v>325</v>
      </c>
      <c r="M311" s="103">
        <v>1658</v>
      </c>
      <c r="N311" s="103">
        <v>24</v>
      </c>
      <c r="O311" s="103"/>
      <c r="P311" s="103"/>
      <c r="Q311" s="103"/>
      <c r="R311" s="103"/>
      <c r="S311" s="103"/>
      <c r="T311" s="103"/>
      <c r="U311" s="103">
        <v>1062</v>
      </c>
      <c r="V311" s="103"/>
      <c r="W311" s="103">
        <v>112</v>
      </c>
      <c r="X311" s="103"/>
      <c r="Y311" s="103"/>
      <c r="Z311" s="103"/>
      <c r="AA311" s="103">
        <v>491</v>
      </c>
      <c r="AB311" s="103"/>
      <c r="AC311" s="103">
        <v>164</v>
      </c>
      <c r="AD311" s="103"/>
      <c r="AE311" s="103"/>
      <c r="AF311" s="103"/>
      <c r="AG311" s="103"/>
      <c r="AH311" s="103"/>
      <c r="AI311" s="103"/>
      <c r="AJ311" s="103">
        <v>178</v>
      </c>
      <c r="AK311" s="103"/>
      <c r="AL311" s="103"/>
      <c r="AM311" s="103">
        <v>390</v>
      </c>
      <c r="AN311" s="103">
        <v>164</v>
      </c>
      <c r="AO311" s="103"/>
      <c r="AP311" s="103">
        <v>179</v>
      </c>
      <c r="AQ311" s="103">
        <v>1274</v>
      </c>
      <c r="AR311" s="103"/>
      <c r="AS311" s="103"/>
      <c r="AT311" s="103"/>
      <c r="AU311" s="103"/>
      <c r="AV311" s="103"/>
      <c r="AW311" s="104" t="str">
        <f>HYPERLINK("http://www.openstreetmap.org/?mlat=33.4222&amp;mlon=43.3213&amp;zoom=12#map=12/33.4222/43.3213","Maplink1")</f>
        <v>Maplink1</v>
      </c>
      <c r="AX311" s="104" t="str">
        <f>HYPERLINK("https://www.google.iq/maps/search/+33.4222,43.3213/@33.4222,43.3213,14z?hl=en","Maplink2")</f>
        <v>Maplink2</v>
      </c>
      <c r="AY311" s="104" t="str">
        <f>HYPERLINK("http://www.bing.com/maps/?lvl=14&amp;sty=h&amp;cp=33.4222~43.3213&amp;sp=point.33.4222_43.3213","Maplink3")</f>
        <v>Maplink3</v>
      </c>
    </row>
    <row r="312" spans="1:51" x14ac:dyDescent="0.2">
      <c r="A312" s="102">
        <v>23602</v>
      </c>
      <c r="B312" s="103" t="s">
        <v>29</v>
      </c>
      <c r="C312" s="103" t="s">
        <v>83</v>
      </c>
      <c r="D312" s="103" t="s">
        <v>613</v>
      </c>
      <c r="E312" s="103" t="s">
        <v>614</v>
      </c>
      <c r="F312" s="103">
        <v>33.417470000000002</v>
      </c>
      <c r="G312" s="103">
        <v>43.308422623600002</v>
      </c>
      <c r="H312" s="102">
        <v>2164</v>
      </c>
      <c r="I312" s="102">
        <v>12984</v>
      </c>
      <c r="J312" s="103"/>
      <c r="K312" s="103"/>
      <c r="L312" s="103">
        <v>59</v>
      </c>
      <c r="M312" s="103">
        <v>2067</v>
      </c>
      <c r="N312" s="103">
        <v>38</v>
      </c>
      <c r="O312" s="103"/>
      <c r="P312" s="103"/>
      <c r="Q312" s="103"/>
      <c r="R312" s="103"/>
      <c r="S312" s="103"/>
      <c r="T312" s="103"/>
      <c r="U312" s="103">
        <v>1364</v>
      </c>
      <c r="V312" s="103">
        <v>84</v>
      </c>
      <c r="W312" s="103">
        <v>391</v>
      </c>
      <c r="X312" s="103"/>
      <c r="Y312" s="103"/>
      <c r="Z312" s="103"/>
      <c r="AA312" s="103">
        <v>111</v>
      </c>
      <c r="AB312" s="103"/>
      <c r="AC312" s="103">
        <v>206</v>
      </c>
      <c r="AD312" s="103"/>
      <c r="AE312" s="103"/>
      <c r="AF312" s="103"/>
      <c r="AG312" s="103"/>
      <c r="AH312" s="103"/>
      <c r="AI312" s="103"/>
      <c r="AJ312" s="103">
        <v>8</v>
      </c>
      <c r="AK312" s="103"/>
      <c r="AL312" s="103"/>
      <c r="AM312" s="103">
        <v>631</v>
      </c>
      <c r="AN312" s="103">
        <v>8</v>
      </c>
      <c r="AO312" s="103"/>
      <c r="AP312" s="103">
        <v>84</v>
      </c>
      <c r="AQ312" s="103">
        <v>1441</v>
      </c>
      <c r="AR312" s="103"/>
      <c r="AS312" s="103"/>
      <c r="AT312" s="103"/>
      <c r="AU312" s="103"/>
      <c r="AV312" s="103"/>
      <c r="AW312" s="104" t="str">
        <f>HYPERLINK("http://www.openstreetmap.org/?mlat=33.4175&amp;mlon=43.3084&amp;zoom=12#map=12/33.4175/43.3084","Maplink1")</f>
        <v>Maplink1</v>
      </c>
      <c r="AX312" s="104" t="str">
        <f>HYPERLINK("https://www.google.iq/maps/search/+33.4175,43.3084/@33.4175,43.3084,14z?hl=en","Maplink2")</f>
        <v>Maplink2</v>
      </c>
      <c r="AY312" s="104" t="str">
        <f>HYPERLINK("http://www.bing.com/maps/?lvl=14&amp;sty=h&amp;cp=33.4175~43.3084&amp;sp=point.33.4175_43.3084","Maplink3")</f>
        <v>Maplink3</v>
      </c>
    </row>
    <row r="313" spans="1:51" x14ac:dyDescent="0.2">
      <c r="A313" s="102">
        <v>29485</v>
      </c>
      <c r="B313" s="103" t="s">
        <v>29</v>
      </c>
      <c r="C313" s="103" t="s">
        <v>83</v>
      </c>
      <c r="D313" s="103" t="s">
        <v>615</v>
      </c>
      <c r="E313" s="103" t="s">
        <v>616</v>
      </c>
      <c r="F313" s="103">
        <v>33.437010000000001</v>
      </c>
      <c r="G313" s="103">
        <v>43.418177797799999</v>
      </c>
      <c r="H313" s="102">
        <v>2009</v>
      </c>
      <c r="I313" s="102">
        <v>12054</v>
      </c>
      <c r="J313" s="103"/>
      <c r="K313" s="103"/>
      <c r="L313" s="103"/>
      <c r="M313" s="103">
        <v>2009</v>
      </c>
      <c r="N313" s="103"/>
      <c r="O313" s="103"/>
      <c r="P313" s="103"/>
      <c r="Q313" s="103"/>
      <c r="R313" s="103"/>
      <c r="S313" s="103"/>
      <c r="T313" s="103"/>
      <c r="U313" s="103">
        <v>1637</v>
      </c>
      <c r="V313" s="103"/>
      <c r="W313" s="103">
        <v>132</v>
      </c>
      <c r="X313" s="103"/>
      <c r="Y313" s="103"/>
      <c r="Z313" s="103"/>
      <c r="AA313" s="103"/>
      <c r="AB313" s="103"/>
      <c r="AC313" s="103">
        <v>240</v>
      </c>
      <c r="AD313" s="103"/>
      <c r="AE313" s="103"/>
      <c r="AF313" s="103"/>
      <c r="AG313" s="103"/>
      <c r="AH313" s="103"/>
      <c r="AI313" s="103"/>
      <c r="AJ313" s="103"/>
      <c r="AK313" s="103"/>
      <c r="AL313" s="103"/>
      <c r="AM313" s="103">
        <v>252</v>
      </c>
      <c r="AN313" s="103"/>
      <c r="AO313" s="103"/>
      <c r="AP313" s="103">
        <v>1417</v>
      </c>
      <c r="AQ313" s="103">
        <v>340</v>
      </c>
      <c r="AR313" s="103"/>
      <c r="AS313" s="103"/>
      <c r="AT313" s="103"/>
      <c r="AU313" s="103"/>
      <c r="AV313" s="103"/>
      <c r="AW313" s="104" t="str">
        <f>HYPERLINK("http://www.openstreetmap.org/?mlat=33.437&amp;mlon=43.4182&amp;zoom=12#map=12/33.437/43.4182","Maplink1")</f>
        <v>Maplink1</v>
      </c>
      <c r="AX313" s="104" t="str">
        <f>HYPERLINK("https://www.google.iq/maps/search/+33.437,43.4182/@33.437,43.4182,14z?hl=en","Maplink2")</f>
        <v>Maplink2</v>
      </c>
      <c r="AY313" s="104" t="str">
        <f>HYPERLINK("http://www.bing.com/maps/?lvl=14&amp;sty=h&amp;cp=33.437~43.4182&amp;sp=point.33.437_43.4182","Maplink3")</f>
        <v>Maplink3</v>
      </c>
    </row>
    <row r="314" spans="1:51" x14ac:dyDescent="0.2">
      <c r="A314" s="102">
        <v>34016</v>
      </c>
      <c r="B314" s="103" t="s">
        <v>29</v>
      </c>
      <c r="C314" s="103" t="s">
        <v>83</v>
      </c>
      <c r="D314" s="103" t="s">
        <v>334</v>
      </c>
      <c r="E314" s="103" t="s">
        <v>335</v>
      </c>
      <c r="F314" s="103">
        <v>33.411358</v>
      </c>
      <c r="G314" s="103">
        <v>43.316322</v>
      </c>
      <c r="H314" s="102">
        <v>1200</v>
      </c>
      <c r="I314" s="102">
        <v>7200</v>
      </c>
      <c r="J314" s="103"/>
      <c r="K314" s="103"/>
      <c r="L314" s="103"/>
      <c r="M314" s="103">
        <v>1200</v>
      </c>
      <c r="N314" s="103"/>
      <c r="O314" s="103"/>
      <c r="P314" s="103"/>
      <c r="Q314" s="103"/>
      <c r="R314" s="103"/>
      <c r="S314" s="103"/>
      <c r="T314" s="103"/>
      <c r="U314" s="103">
        <v>867</v>
      </c>
      <c r="V314" s="103"/>
      <c r="W314" s="103">
        <v>160</v>
      </c>
      <c r="X314" s="103"/>
      <c r="Y314" s="103"/>
      <c r="Z314" s="103"/>
      <c r="AA314" s="103">
        <v>63</v>
      </c>
      <c r="AB314" s="103"/>
      <c r="AC314" s="103"/>
      <c r="AD314" s="103"/>
      <c r="AE314" s="103"/>
      <c r="AF314" s="103"/>
      <c r="AG314" s="103"/>
      <c r="AH314" s="103"/>
      <c r="AI314" s="103"/>
      <c r="AJ314" s="103">
        <v>110</v>
      </c>
      <c r="AK314" s="103"/>
      <c r="AL314" s="103"/>
      <c r="AM314" s="103">
        <v>1200</v>
      </c>
      <c r="AN314" s="103"/>
      <c r="AO314" s="103"/>
      <c r="AP314" s="103"/>
      <c r="AQ314" s="103"/>
      <c r="AR314" s="103"/>
      <c r="AS314" s="103"/>
      <c r="AT314" s="103"/>
      <c r="AU314" s="103"/>
      <c r="AV314" s="103"/>
      <c r="AW314" s="104" t="str">
        <f>HYPERLINK("http://www.openstreetmap.org/?mlat=33.4114&amp;mlon=43.3163&amp;zoom=12#map=12/33.4114/43.3163","Maplink1")</f>
        <v>Maplink1</v>
      </c>
      <c r="AX314" s="104" t="str">
        <f>HYPERLINK("https://www.google.iq/maps/search/+33.4114,43.3163/@33.4114,43.3163,14z?hl=en","Maplink2")</f>
        <v>Maplink2</v>
      </c>
      <c r="AY314" s="104" t="str">
        <f>HYPERLINK("http://www.bing.com/maps/?lvl=14&amp;sty=h&amp;cp=33.4114~43.3163&amp;sp=point.33.4114_43.3163","Maplink3")</f>
        <v>Maplink3</v>
      </c>
    </row>
    <row r="315" spans="1:51" x14ac:dyDescent="0.2">
      <c r="A315" s="102">
        <v>20901</v>
      </c>
      <c r="B315" s="103" t="s">
        <v>29</v>
      </c>
      <c r="C315" s="103" t="s">
        <v>83</v>
      </c>
      <c r="D315" s="103" t="s">
        <v>596</v>
      </c>
      <c r="E315" s="103" t="s">
        <v>597</v>
      </c>
      <c r="F315" s="103">
        <v>33.369720890400004</v>
      </c>
      <c r="G315" s="103">
        <v>43.613667858399999</v>
      </c>
      <c r="H315" s="102">
        <v>368</v>
      </c>
      <c r="I315" s="102">
        <v>2208</v>
      </c>
      <c r="J315" s="103"/>
      <c r="K315" s="103"/>
      <c r="L315" s="103"/>
      <c r="M315" s="103">
        <v>368</v>
      </c>
      <c r="N315" s="103"/>
      <c r="O315" s="103"/>
      <c r="P315" s="103"/>
      <c r="Q315" s="103"/>
      <c r="R315" s="103"/>
      <c r="S315" s="103"/>
      <c r="T315" s="103"/>
      <c r="U315" s="103">
        <v>56</v>
      </c>
      <c r="V315" s="103"/>
      <c r="W315" s="103">
        <v>116</v>
      </c>
      <c r="X315" s="103"/>
      <c r="Y315" s="103"/>
      <c r="Z315" s="103"/>
      <c r="AA315" s="103">
        <v>72</v>
      </c>
      <c r="AB315" s="103"/>
      <c r="AC315" s="103">
        <v>124</v>
      </c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103"/>
      <c r="AO315" s="103"/>
      <c r="AP315" s="103">
        <v>312</v>
      </c>
      <c r="AQ315" s="103">
        <v>56</v>
      </c>
      <c r="AR315" s="103"/>
      <c r="AS315" s="103"/>
      <c r="AT315" s="103"/>
      <c r="AU315" s="103"/>
      <c r="AV315" s="103"/>
      <c r="AW315" s="104" t="str">
        <f>HYPERLINK("http://www.openstreetmap.org/?mlat=33.3697&amp;mlon=43.6137&amp;zoom=12#map=12/33.3697/43.6137","Maplink1")</f>
        <v>Maplink1</v>
      </c>
      <c r="AX315" s="104" t="str">
        <f>HYPERLINK("https://www.google.iq/maps/search/+33.3697,43.6137/@33.3697,43.6137,14z?hl=en","Maplink2")</f>
        <v>Maplink2</v>
      </c>
      <c r="AY315" s="104" t="str">
        <f>HYPERLINK("http://www.bing.com/maps/?lvl=14&amp;sty=h&amp;cp=33.3697~43.6137&amp;sp=point.33.3697_43.6137","Maplink3")</f>
        <v>Maplink3</v>
      </c>
    </row>
    <row r="316" spans="1:51" x14ac:dyDescent="0.2">
      <c r="A316" s="102">
        <v>29475</v>
      </c>
      <c r="B316" s="103" t="s">
        <v>29</v>
      </c>
      <c r="C316" s="103" t="s">
        <v>83</v>
      </c>
      <c r="D316" s="103" t="s">
        <v>598</v>
      </c>
      <c r="E316" s="103" t="s">
        <v>599</v>
      </c>
      <c r="F316" s="103">
        <v>33.480319999999999</v>
      </c>
      <c r="G316" s="103">
        <v>43.155595628100002</v>
      </c>
      <c r="H316" s="102">
        <v>5509</v>
      </c>
      <c r="I316" s="102">
        <v>33054</v>
      </c>
      <c r="J316" s="103"/>
      <c r="K316" s="103"/>
      <c r="L316" s="103"/>
      <c r="M316" s="103">
        <v>5454</v>
      </c>
      <c r="N316" s="103">
        <v>55</v>
      </c>
      <c r="O316" s="103"/>
      <c r="P316" s="103"/>
      <c r="Q316" s="103"/>
      <c r="R316" s="103"/>
      <c r="S316" s="103"/>
      <c r="T316" s="103"/>
      <c r="U316" s="103">
        <v>4931</v>
      </c>
      <c r="V316" s="103"/>
      <c r="W316" s="103"/>
      <c r="X316" s="103"/>
      <c r="Y316" s="103"/>
      <c r="Z316" s="103"/>
      <c r="AA316" s="103">
        <v>100</v>
      </c>
      <c r="AB316" s="103"/>
      <c r="AC316" s="103">
        <v>228</v>
      </c>
      <c r="AD316" s="103"/>
      <c r="AE316" s="103"/>
      <c r="AF316" s="103"/>
      <c r="AG316" s="103"/>
      <c r="AH316" s="103"/>
      <c r="AI316" s="103"/>
      <c r="AJ316" s="103">
        <v>250</v>
      </c>
      <c r="AK316" s="103"/>
      <c r="AL316" s="103"/>
      <c r="AM316" s="103">
        <v>344</v>
      </c>
      <c r="AN316" s="103"/>
      <c r="AO316" s="103"/>
      <c r="AP316" s="103">
        <v>257</v>
      </c>
      <c r="AQ316" s="103">
        <v>538</v>
      </c>
      <c r="AR316" s="103">
        <v>4370</v>
      </c>
      <c r="AS316" s="103"/>
      <c r="AT316" s="103"/>
      <c r="AU316" s="103"/>
      <c r="AV316" s="103"/>
      <c r="AW316" s="104" t="str">
        <f>HYPERLINK("http://www.openstreetmap.org/?mlat=33.4803&amp;mlon=43.1556&amp;zoom=12#map=12/33.4803/43.1556","Maplink1")</f>
        <v>Maplink1</v>
      </c>
      <c r="AX316" s="104" t="str">
        <f>HYPERLINK("https://www.google.iq/maps/search/+33.4803,43.1556/@33.4803,43.1556,14z?hl=en","Maplink2")</f>
        <v>Maplink2</v>
      </c>
      <c r="AY316" s="104" t="str">
        <f>HYPERLINK("http://www.bing.com/maps/?lvl=14&amp;sty=h&amp;cp=33.4803~43.1556&amp;sp=point.33.4803_43.1556","Maplink3")</f>
        <v>Maplink3</v>
      </c>
    </row>
    <row r="317" spans="1:51" x14ac:dyDescent="0.2">
      <c r="A317" s="102">
        <v>21999</v>
      </c>
      <c r="B317" s="103" t="s">
        <v>29</v>
      </c>
      <c r="C317" s="103" t="s">
        <v>83</v>
      </c>
      <c r="D317" s="103" t="s">
        <v>600</v>
      </c>
      <c r="E317" s="103" t="s">
        <v>169</v>
      </c>
      <c r="F317" s="103">
        <v>33.415956000000001</v>
      </c>
      <c r="G317" s="103">
        <v>43.235869999999998</v>
      </c>
      <c r="H317" s="102">
        <v>950</v>
      </c>
      <c r="I317" s="102">
        <v>5700</v>
      </c>
      <c r="J317" s="103"/>
      <c r="K317" s="103"/>
      <c r="L317" s="103">
        <v>20</v>
      </c>
      <c r="M317" s="103">
        <v>930</v>
      </c>
      <c r="N317" s="103"/>
      <c r="O317" s="103"/>
      <c r="P317" s="103"/>
      <c r="Q317" s="103"/>
      <c r="R317" s="103"/>
      <c r="S317" s="103"/>
      <c r="T317" s="103"/>
      <c r="U317" s="103">
        <v>206</v>
      </c>
      <c r="V317" s="103">
        <v>84</v>
      </c>
      <c r="W317" s="103">
        <v>186</v>
      </c>
      <c r="X317" s="103"/>
      <c r="Y317" s="103">
        <v>97</v>
      </c>
      <c r="Z317" s="103"/>
      <c r="AA317" s="103">
        <v>247</v>
      </c>
      <c r="AB317" s="103"/>
      <c r="AC317" s="103"/>
      <c r="AD317" s="103"/>
      <c r="AE317" s="103"/>
      <c r="AF317" s="103"/>
      <c r="AG317" s="103"/>
      <c r="AH317" s="103"/>
      <c r="AI317" s="103"/>
      <c r="AJ317" s="103">
        <v>130</v>
      </c>
      <c r="AK317" s="103"/>
      <c r="AL317" s="103"/>
      <c r="AM317" s="103">
        <v>950</v>
      </c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4" t="str">
        <f>HYPERLINK("http://www.openstreetmap.org/?mlat=33.416&amp;mlon=43.2359&amp;zoom=12#map=12/33.416/43.2359","Maplink1")</f>
        <v>Maplink1</v>
      </c>
      <c r="AX317" s="104" t="str">
        <f>HYPERLINK("https://www.google.iq/maps/search/+33.416,43.2359/@33.416,43.2359,14z?hl=en","Maplink2")</f>
        <v>Maplink2</v>
      </c>
      <c r="AY317" s="104" t="str">
        <f>HYPERLINK("http://www.bing.com/maps/?lvl=14&amp;sty=h&amp;cp=33.416~43.2359&amp;sp=point.33.416_43.2359","Maplink3")</f>
        <v>Maplink3</v>
      </c>
    </row>
    <row r="318" spans="1:51" x14ac:dyDescent="0.2">
      <c r="A318" s="102">
        <v>31882</v>
      </c>
      <c r="B318" s="103" t="s">
        <v>29</v>
      </c>
      <c r="C318" s="103" t="s">
        <v>83</v>
      </c>
      <c r="D318" s="103" t="s">
        <v>677</v>
      </c>
      <c r="E318" s="103" t="s">
        <v>678</v>
      </c>
      <c r="F318" s="103">
        <v>33.452706149800001</v>
      </c>
      <c r="G318" s="103">
        <v>43.3093434289</v>
      </c>
      <c r="H318" s="102">
        <v>882</v>
      </c>
      <c r="I318" s="102">
        <v>5292</v>
      </c>
      <c r="J318" s="103"/>
      <c r="K318" s="103"/>
      <c r="L318" s="103"/>
      <c r="M318" s="103">
        <v>833</v>
      </c>
      <c r="N318" s="103">
        <v>49</v>
      </c>
      <c r="O318" s="103"/>
      <c r="P318" s="103"/>
      <c r="Q318" s="103"/>
      <c r="R318" s="103"/>
      <c r="S318" s="103"/>
      <c r="T318" s="103"/>
      <c r="U318" s="103">
        <v>403</v>
      </c>
      <c r="V318" s="103">
        <v>93</v>
      </c>
      <c r="W318" s="103">
        <v>187</v>
      </c>
      <c r="X318" s="103"/>
      <c r="Y318" s="103"/>
      <c r="Z318" s="103"/>
      <c r="AA318" s="103">
        <v>90</v>
      </c>
      <c r="AB318" s="103"/>
      <c r="AC318" s="103">
        <v>109</v>
      </c>
      <c r="AD318" s="103"/>
      <c r="AE318" s="103"/>
      <c r="AF318" s="103"/>
      <c r="AG318" s="103"/>
      <c r="AH318" s="103"/>
      <c r="AI318" s="103"/>
      <c r="AJ318" s="103"/>
      <c r="AK318" s="103"/>
      <c r="AL318" s="103"/>
      <c r="AM318" s="103">
        <v>227</v>
      </c>
      <c r="AN318" s="103"/>
      <c r="AO318" s="103"/>
      <c r="AP318" s="103">
        <v>195</v>
      </c>
      <c r="AQ318" s="103">
        <v>394</v>
      </c>
      <c r="AR318" s="103">
        <v>66</v>
      </c>
      <c r="AS318" s="103"/>
      <c r="AT318" s="103"/>
      <c r="AU318" s="103"/>
      <c r="AV318" s="103"/>
      <c r="AW318" s="104" t="str">
        <f>HYPERLINK("http://www.openstreetmap.org/?mlat=33.4527&amp;mlon=43.3093&amp;zoom=12#map=12/33.4527/43.3093","Maplink1")</f>
        <v>Maplink1</v>
      </c>
      <c r="AX318" s="104" t="str">
        <f>HYPERLINK("https://www.google.iq/maps/search/+33.4527,43.3093/@33.4527,43.3093,14z?hl=en","Maplink2")</f>
        <v>Maplink2</v>
      </c>
      <c r="AY318" s="104" t="str">
        <f>HYPERLINK("http://www.bing.com/maps/?lvl=14&amp;sty=h&amp;cp=33.4527~43.3093&amp;sp=point.33.4527_43.3093","Maplink3")</f>
        <v>Maplink3</v>
      </c>
    </row>
    <row r="319" spans="1:51" x14ac:dyDescent="0.2">
      <c r="A319" s="102">
        <v>33829</v>
      </c>
      <c r="B319" s="103" t="s">
        <v>29</v>
      </c>
      <c r="C319" s="103" t="s">
        <v>83</v>
      </c>
      <c r="D319" s="103" t="s">
        <v>679</v>
      </c>
      <c r="E319" s="103" t="s">
        <v>680</v>
      </c>
      <c r="F319" s="103">
        <v>33.256999999999998</v>
      </c>
      <c r="G319" s="103">
        <v>43.305799999999998</v>
      </c>
      <c r="H319" s="102">
        <v>100</v>
      </c>
      <c r="I319" s="102">
        <v>600</v>
      </c>
      <c r="J319" s="103"/>
      <c r="K319" s="103"/>
      <c r="L319" s="103"/>
      <c r="M319" s="103">
        <v>100</v>
      </c>
      <c r="N319" s="103"/>
      <c r="O319" s="103"/>
      <c r="P319" s="103"/>
      <c r="Q319" s="103"/>
      <c r="R319" s="103"/>
      <c r="S319" s="103"/>
      <c r="T319" s="103"/>
      <c r="U319" s="103">
        <v>55</v>
      </c>
      <c r="V319" s="103"/>
      <c r="W319" s="103">
        <v>35</v>
      </c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>
        <v>10</v>
      </c>
      <c r="AK319" s="103"/>
      <c r="AL319" s="103"/>
      <c r="AM319" s="103"/>
      <c r="AN319" s="103">
        <v>45</v>
      </c>
      <c r="AO319" s="103"/>
      <c r="AP319" s="103"/>
      <c r="AQ319" s="103">
        <v>35</v>
      </c>
      <c r="AR319" s="103">
        <v>20</v>
      </c>
      <c r="AS319" s="103"/>
      <c r="AT319" s="103"/>
      <c r="AU319" s="103"/>
      <c r="AV319" s="103"/>
      <c r="AW319" s="104" t="str">
        <f>HYPERLINK("http://www.openstreetmap.org/?mlat=33.257&amp;mlon=43.3058&amp;zoom=12#map=12/33.257/43.3058","Maplink1")</f>
        <v>Maplink1</v>
      </c>
      <c r="AX319" s="104" t="str">
        <f>HYPERLINK("https://www.google.iq/maps/search/+33.257,43.3058/@33.257,43.3058,14z?hl=en","Maplink2")</f>
        <v>Maplink2</v>
      </c>
      <c r="AY319" s="104" t="str">
        <f>HYPERLINK("http://www.bing.com/maps/?lvl=14&amp;sty=h&amp;cp=33.257~43.3058&amp;sp=point.33.257_43.3058","Maplink3")</f>
        <v>Maplink3</v>
      </c>
    </row>
    <row r="320" spans="1:51" x14ac:dyDescent="0.2">
      <c r="A320" s="102">
        <v>25441</v>
      </c>
      <c r="B320" s="103" t="s">
        <v>29</v>
      </c>
      <c r="C320" s="103" t="s">
        <v>83</v>
      </c>
      <c r="D320" s="103" t="s">
        <v>657</v>
      </c>
      <c r="E320" s="103" t="s">
        <v>658</v>
      </c>
      <c r="F320" s="103">
        <v>33.435102596999997</v>
      </c>
      <c r="G320" s="103">
        <v>43.356088974999999</v>
      </c>
      <c r="H320" s="102">
        <v>1634</v>
      </c>
      <c r="I320" s="102">
        <v>9804</v>
      </c>
      <c r="J320" s="103"/>
      <c r="K320" s="103"/>
      <c r="L320" s="103">
        <v>185</v>
      </c>
      <c r="M320" s="103">
        <v>1416</v>
      </c>
      <c r="N320" s="103">
        <v>33</v>
      </c>
      <c r="O320" s="103"/>
      <c r="P320" s="103"/>
      <c r="Q320" s="103"/>
      <c r="R320" s="103"/>
      <c r="S320" s="103"/>
      <c r="T320" s="103"/>
      <c r="U320" s="103">
        <v>696</v>
      </c>
      <c r="V320" s="103"/>
      <c r="W320" s="103">
        <v>362</v>
      </c>
      <c r="X320" s="103"/>
      <c r="Y320" s="103"/>
      <c r="Z320" s="103"/>
      <c r="AA320" s="103">
        <v>256</v>
      </c>
      <c r="AB320" s="103"/>
      <c r="AC320" s="103">
        <v>320</v>
      </c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>
        <v>409</v>
      </c>
      <c r="AN320" s="103">
        <v>649</v>
      </c>
      <c r="AO320" s="103"/>
      <c r="AP320" s="103">
        <v>185</v>
      </c>
      <c r="AQ320" s="103">
        <v>391</v>
      </c>
      <c r="AR320" s="103"/>
      <c r="AS320" s="103"/>
      <c r="AT320" s="103"/>
      <c r="AU320" s="103"/>
      <c r="AV320" s="103"/>
      <c r="AW320" s="104" t="str">
        <f>HYPERLINK("http://www.openstreetmap.org/?mlat=33.4351&amp;mlon=43.3561&amp;zoom=12#map=12/33.4351/43.3561","Maplink1")</f>
        <v>Maplink1</v>
      </c>
      <c r="AX320" s="104" t="str">
        <f>HYPERLINK("https://www.google.iq/maps/search/+33.4351,43.3561/@33.4351,43.3561,14z?hl=en","Maplink2")</f>
        <v>Maplink2</v>
      </c>
      <c r="AY320" s="104" t="str">
        <f>HYPERLINK("http://www.bing.com/maps/?lvl=14&amp;sty=h&amp;cp=33.4351~43.3561&amp;sp=point.33.4351_43.3561","Maplink3")</f>
        <v>Maplink3</v>
      </c>
    </row>
    <row r="321" spans="1:51" x14ac:dyDescent="0.2">
      <c r="A321" s="102">
        <v>33415</v>
      </c>
      <c r="B321" s="103" t="s">
        <v>29</v>
      </c>
      <c r="C321" s="103" t="s">
        <v>83</v>
      </c>
      <c r="D321" s="103" t="s">
        <v>659</v>
      </c>
      <c r="E321" s="103" t="s">
        <v>660</v>
      </c>
      <c r="F321" s="103">
        <v>33.391219999999997</v>
      </c>
      <c r="G321" s="103">
        <v>43.573722964600002</v>
      </c>
      <c r="H321" s="102">
        <v>239</v>
      </c>
      <c r="I321" s="102">
        <v>1434</v>
      </c>
      <c r="J321" s="103"/>
      <c r="K321" s="103"/>
      <c r="L321" s="103"/>
      <c r="M321" s="103">
        <v>208</v>
      </c>
      <c r="N321" s="103">
        <v>31</v>
      </c>
      <c r="O321" s="103"/>
      <c r="P321" s="103"/>
      <c r="Q321" s="103"/>
      <c r="R321" s="103"/>
      <c r="S321" s="103"/>
      <c r="T321" s="103"/>
      <c r="U321" s="103">
        <v>141</v>
      </c>
      <c r="V321" s="103"/>
      <c r="W321" s="103">
        <v>30</v>
      </c>
      <c r="X321" s="103"/>
      <c r="Y321" s="103"/>
      <c r="Z321" s="103"/>
      <c r="AA321" s="103">
        <v>34</v>
      </c>
      <c r="AB321" s="103"/>
      <c r="AC321" s="103">
        <v>34</v>
      </c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>
        <v>129</v>
      </c>
      <c r="AN321" s="103"/>
      <c r="AO321" s="103"/>
      <c r="AP321" s="103">
        <v>58</v>
      </c>
      <c r="AQ321" s="103">
        <v>34</v>
      </c>
      <c r="AR321" s="103">
        <v>18</v>
      </c>
      <c r="AS321" s="103"/>
      <c r="AT321" s="103"/>
      <c r="AU321" s="103"/>
      <c r="AV321" s="103"/>
      <c r="AW321" s="104" t="str">
        <f>HYPERLINK("http://www.openstreetmap.org/?mlat=33.3912&amp;mlon=43.5737&amp;zoom=12#map=12/33.3912/43.5737","Maplink1")</f>
        <v>Maplink1</v>
      </c>
      <c r="AX321" s="104" t="str">
        <f>HYPERLINK("https://www.google.iq/maps/search/+33.3912,43.5737/@33.3912,43.5737,14z?hl=en","Maplink2")</f>
        <v>Maplink2</v>
      </c>
      <c r="AY321" s="104" t="str">
        <f>HYPERLINK("http://www.bing.com/maps/?lvl=14&amp;sty=h&amp;cp=33.3912~43.5737&amp;sp=point.33.3912_43.5737","Maplink3")</f>
        <v>Maplink3</v>
      </c>
    </row>
    <row r="322" spans="1:51" x14ac:dyDescent="0.2">
      <c r="A322" s="102">
        <v>184</v>
      </c>
      <c r="B322" s="103" t="s">
        <v>29</v>
      </c>
      <c r="C322" s="103" t="s">
        <v>83</v>
      </c>
      <c r="D322" s="103" t="s">
        <v>601</v>
      </c>
      <c r="E322" s="103" t="s">
        <v>602</v>
      </c>
      <c r="F322" s="103">
        <v>33.432006243399996</v>
      </c>
      <c r="G322" s="103">
        <v>43.274329485599999</v>
      </c>
      <c r="H322" s="102">
        <v>2378</v>
      </c>
      <c r="I322" s="102">
        <v>14268</v>
      </c>
      <c r="J322" s="103"/>
      <c r="K322" s="103"/>
      <c r="L322" s="103">
        <v>65</v>
      </c>
      <c r="M322" s="103">
        <v>2249</v>
      </c>
      <c r="N322" s="103">
        <v>64</v>
      </c>
      <c r="O322" s="103"/>
      <c r="P322" s="103"/>
      <c r="Q322" s="103"/>
      <c r="R322" s="103"/>
      <c r="S322" s="103"/>
      <c r="T322" s="103"/>
      <c r="U322" s="103">
        <v>1014</v>
      </c>
      <c r="V322" s="103"/>
      <c r="W322" s="103">
        <v>516</v>
      </c>
      <c r="X322" s="103"/>
      <c r="Y322" s="103"/>
      <c r="Z322" s="103"/>
      <c r="AA322" s="103">
        <v>449</v>
      </c>
      <c r="AB322" s="103"/>
      <c r="AC322" s="103">
        <v>399</v>
      </c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>
        <v>1209</v>
      </c>
      <c r="AN322" s="103"/>
      <c r="AO322" s="103"/>
      <c r="AP322" s="103">
        <v>411</v>
      </c>
      <c r="AQ322" s="103">
        <v>669</v>
      </c>
      <c r="AR322" s="103">
        <v>89</v>
      </c>
      <c r="AS322" s="103"/>
      <c r="AT322" s="103"/>
      <c r="AU322" s="103"/>
      <c r="AV322" s="103"/>
      <c r="AW322" s="104" t="str">
        <f>HYPERLINK("http://www.openstreetmap.org/?mlat=33.432&amp;mlon=43.2743&amp;zoom=12#map=12/33.432/43.2743","Maplink1")</f>
        <v>Maplink1</v>
      </c>
      <c r="AX322" s="104" t="str">
        <f>HYPERLINK("https://www.google.iq/maps/search/+33.432,43.2743/@33.432,43.2743,14z?hl=en","Maplink2")</f>
        <v>Maplink2</v>
      </c>
      <c r="AY322" s="104" t="str">
        <f>HYPERLINK("http://www.bing.com/maps/?lvl=14&amp;sty=h&amp;cp=33.432~43.2743&amp;sp=point.33.432_43.2743","Maplink3")</f>
        <v>Maplink3</v>
      </c>
    </row>
    <row r="323" spans="1:51" x14ac:dyDescent="0.2">
      <c r="A323" s="102">
        <v>158</v>
      </c>
      <c r="B323" s="103" t="s">
        <v>29</v>
      </c>
      <c r="C323" s="103" t="s">
        <v>83</v>
      </c>
      <c r="D323" s="103" t="s">
        <v>603</v>
      </c>
      <c r="E323" s="103" t="s">
        <v>520</v>
      </c>
      <c r="F323" s="103">
        <v>33.416767</v>
      </c>
      <c r="G323" s="103">
        <v>43.317339091699999</v>
      </c>
      <c r="H323" s="102">
        <v>149</v>
      </c>
      <c r="I323" s="102">
        <v>894</v>
      </c>
      <c r="J323" s="103"/>
      <c r="K323" s="103"/>
      <c r="L323" s="103"/>
      <c r="M323" s="103">
        <v>105</v>
      </c>
      <c r="N323" s="103">
        <v>44</v>
      </c>
      <c r="O323" s="103"/>
      <c r="P323" s="103"/>
      <c r="Q323" s="103"/>
      <c r="R323" s="103"/>
      <c r="S323" s="103"/>
      <c r="T323" s="103"/>
      <c r="U323" s="103">
        <v>83</v>
      </c>
      <c r="V323" s="103">
        <v>17</v>
      </c>
      <c r="W323" s="103">
        <v>25</v>
      </c>
      <c r="X323" s="103"/>
      <c r="Y323" s="103"/>
      <c r="Z323" s="103"/>
      <c r="AA323" s="103">
        <v>6</v>
      </c>
      <c r="AB323" s="103"/>
      <c r="AC323" s="103"/>
      <c r="AD323" s="103"/>
      <c r="AE323" s="103"/>
      <c r="AF323" s="103"/>
      <c r="AG323" s="103"/>
      <c r="AH323" s="103"/>
      <c r="AI323" s="103"/>
      <c r="AJ323" s="103">
        <v>18</v>
      </c>
      <c r="AK323" s="103"/>
      <c r="AL323" s="103"/>
      <c r="AM323" s="103">
        <v>46</v>
      </c>
      <c r="AN323" s="103"/>
      <c r="AO323" s="103"/>
      <c r="AP323" s="103">
        <v>70</v>
      </c>
      <c r="AQ323" s="103">
        <v>33</v>
      </c>
      <c r="AR323" s="103"/>
      <c r="AS323" s="103"/>
      <c r="AT323" s="103"/>
      <c r="AU323" s="103"/>
      <c r="AV323" s="103"/>
      <c r="AW323" s="104" t="str">
        <f>HYPERLINK("http://www.openstreetmap.org/?mlat=33.4168&amp;mlon=43.3173&amp;zoom=12#map=12/33.4168/43.3173","Maplink1")</f>
        <v>Maplink1</v>
      </c>
      <c r="AX323" s="104" t="str">
        <f>HYPERLINK("https://www.google.iq/maps/search/+33.4168,43.3173/@33.4168,43.3173,14z?hl=en","Maplink2")</f>
        <v>Maplink2</v>
      </c>
      <c r="AY323" s="104" t="str">
        <f>HYPERLINK("http://www.bing.com/maps/?lvl=14&amp;sty=h&amp;cp=33.4168~43.3173&amp;sp=point.33.4168_43.3173","Maplink3")</f>
        <v>Maplink3</v>
      </c>
    </row>
    <row r="324" spans="1:51" x14ac:dyDescent="0.2">
      <c r="A324" s="102">
        <v>29530</v>
      </c>
      <c r="B324" s="103" t="s">
        <v>30</v>
      </c>
      <c r="C324" s="103" t="s">
        <v>85</v>
      </c>
      <c r="D324" s="103" t="s">
        <v>774</v>
      </c>
      <c r="E324" s="103" t="s">
        <v>775</v>
      </c>
      <c r="F324" s="103">
        <v>33.258200000000002</v>
      </c>
      <c r="G324" s="103">
        <v>43.920484725199998</v>
      </c>
      <c r="H324" s="102">
        <v>132</v>
      </c>
      <c r="I324" s="102">
        <v>792</v>
      </c>
      <c r="J324" s="103"/>
      <c r="K324" s="103"/>
      <c r="L324" s="103"/>
      <c r="M324" s="103">
        <v>127</v>
      </c>
      <c r="N324" s="103">
        <v>5</v>
      </c>
      <c r="O324" s="103"/>
      <c r="P324" s="103"/>
      <c r="Q324" s="103"/>
      <c r="R324" s="103"/>
      <c r="S324" s="103"/>
      <c r="T324" s="103"/>
      <c r="U324" s="103"/>
      <c r="V324" s="103"/>
      <c r="W324" s="103">
        <v>132</v>
      </c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>
        <v>42</v>
      </c>
      <c r="AP324" s="103">
        <v>90</v>
      </c>
      <c r="AQ324" s="103"/>
      <c r="AR324" s="103"/>
      <c r="AS324" s="103"/>
      <c r="AT324" s="103"/>
      <c r="AU324" s="103"/>
      <c r="AV324" s="103"/>
      <c r="AW324" s="104" t="str">
        <f>HYPERLINK("http://www.openstreetmap.org/?mlat=33.2582&amp;mlon=43.9205&amp;zoom=12#map=12/33.2582/43.9205","Maplink1")</f>
        <v>Maplink1</v>
      </c>
      <c r="AX324" s="104" t="str">
        <f>HYPERLINK("https://www.google.iq/maps/search/+33.2582,43.9205/@33.2582,43.9205,14z?hl=en","Maplink2")</f>
        <v>Maplink2</v>
      </c>
      <c r="AY324" s="104" t="str">
        <f>HYPERLINK("http://www.bing.com/maps/?lvl=14&amp;sty=h&amp;cp=33.2582~43.9205&amp;sp=point.33.2582_43.9205","Maplink3")</f>
        <v>Maplink3</v>
      </c>
    </row>
    <row r="325" spans="1:51" x14ac:dyDescent="0.2">
      <c r="A325" s="102">
        <v>32038</v>
      </c>
      <c r="B325" s="103" t="s">
        <v>30</v>
      </c>
      <c r="C325" s="103" t="s">
        <v>85</v>
      </c>
      <c r="D325" s="103" t="s">
        <v>776</v>
      </c>
      <c r="E325" s="103" t="s">
        <v>777</v>
      </c>
      <c r="F325" s="103">
        <v>33.265251999999997</v>
      </c>
      <c r="G325" s="103">
        <v>43.935526720200002</v>
      </c>
      <c r="H325" s="102">
        <v>116</v>
      </c>
      <c r="I325" s="102">
        <v>696</v>
      </c>
      <c r="J325" s="103"/>
      <c r="K325" s="103"/>
      <c r="L325" s="103"/>
      <c r="M325" s="103">
        <v>113</v>
      </c>
      <c r="N325" s="103">
        <v>3</v>
      </c>
      <c r="O325" s="103"/>
      <c r="P325" s="103"/>
      <c r="Q325" s="103"/>
      <c r="R325" s="103"/>
      <c r="S325" s="103"/>
      <c r="T325" s="103"/>
      <c r="U325" s="103"/>
      <c r="V325" s="103"/>
      <c r="W325" s="103">
        <v>89</v>
      </c>
      <c r="X325" s="103"/>
      <c r="Y325" s="103"/>
      <c r="Z325" s="103"/>
      <c r="AA325" s="103">
        <v>23</v>
      </c>
      <c r="AB325" s="103"/>
      <c r="AC325" s="103"/>
      <c r="AD325" s="103"/>
      <c r="AE325" s="103"/>
      <c r="AF325" s="103"/>
      <c r="AG325" s="103"/>
      <c r="AH325" s="103"/>
      <c r="AI325" s="103"/>
      <c r="AJ325" s="103">
        <v>4</v>
      </c>
      <c r="AK325" s="103"/>
      <c r="AL325" s="103"/>
      <c r="AM325" s="103">
        <v>116</v>
      </c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4" t="str">
        <f>HYPERLINK("http://www.openstreetmap.org/?mlat=33.2653&amp;mlon=43.9355&amp;zoom=12#map=12/33.2653/43.9355","Maplink1")</f>
        <v>Maplink1</v>
      </c>
      <c r="AX325" s="104" t="str">
        <f>HYPERLINK("https://www.google.iq/maps/search/+33.2653,43.9355/@33.2653,43.9355,14z?hl=en","Maplink2")</f>
        <v>Maplink2</v>
      </c>
      <c r="AY325" s="104" t="str">
        <f>HYPERLINK("http://www.bing.com/maps/?lvl=14&amp;sty=h&amp;cp=33.2653~43.9355&amp;sp=point.33.2653_43.9355","Maplink3")</f>
        <v>Maplink3</v>
      </c>
    </row>
    <row r="326" spans="1:51" x14ac:dyDescent="0.2">
      <c r="A326" s="102">
        <v>29497</v>
      </c>
      <c r="B326" s="103" t="s">
        <v>30</v>
      </c>
      <c r="C326" s="103" t="s">
        <v>85</v>
      </c>
      <c r="D326" s="103" t="s">
        <v>742</v>
      </c>
      <c r="E326" s="103" t="s">
        <v>743</v>
      </c>
      <c r="F326" s="103">
        <v>33.389071790000003</v>
      </c>
      <c r="G326" s="103">
        <v>44.126303117699997</v>
      </c>
      <c r="H326" s="102">
        <v>39</v>
      </c>
      <c r="I326" s="102">
        <v>234</v>
      </c>
      <c r="J326" s="103"/>
      <c r="K326" s="103"/>
      <c r="L326" s="103"/>
      <c r="M326" s="103">
        <v>39</v>
      </c>
      <c r="N326" s="103"/>
      <c r="O326" s="103"/>
      <c r="P326" s="103"/>
      <c r="Q326" s="103"/>
      <c r="R326" s="103"/>
      <c r="S326" s="103"/>
      <c r="T326" s="103"/>
      <c r="U326" s="103"/>
      <c r="V326" s="103"/>
      <c r="W326" s="103">
        <v>39</v>
      </c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>
        <v>39</v>
      </c>
      <c r="AQ326" s="103"/>
      <c r="AR326" s="103"/>
      <c r="AS326" s="103"/>
      <c r="AT326" s="103"/>
      <c r="AU326" s="103"/>
      <c r="AV326" s="103"/>
      <c r="AW326" s="104" t="str">
        <f>HYPERLINK("http://www.openstreetmap.org/?mlat=33.3891&amp;mlon=44.1263&amp;zoom=12#map=12/33.3891/44.1263","Maplink1")</f>
        <v>Maplink1</v>
      </c>
      <c r="AX326" s="104" t="str">
        <f>HYPERLINK("https://www.google.iq/maps/search/+33.3891,44.1263/@33.3891,44.1263,14z?hl=en","Maplink2")</f>
        <v>Maplink2</v>
      </c>
      <c r="AY326" s="104" t="str">
        <f>HYPERLINK("http://www.bing.com/maps/?lvl=14&amp;sty=h&amp;cp=33.3891~44.1263&amp;sp=point.33.3891_44.1263","Maplink3")</f>
        <v>Maplink3</v>
      </c>
    </row>
    <row r="327" spans="1:51" x14ac:dyDescent="0.2">
      <c r="A327" s="102">
        <v>32039</v>
      </c>
      <c r="B327" s="103" t="s">
        <v>30</v>
      </c>
      <c r="C327" s="103" t="s">
        <v>85</v>
      </c>
      <c r="D327" s="103" t="s">
        <v>744</v>
      </c>
      <c r="E327" s="103" t="s">
        <v>745</v>
      </c>
      <c r="F327" s="103">
        <v>33.261667000000003</v>
      </c>
      <c r="G327" s="103">
        <v>43.914739117400003</v>
      </c>
      <c r="H327" s="102">
        <v>125</v>
      </c>
      <c r="I327" s="102">
        <v>750</v>
      </c>
      <c r="J327" s="103"/>
      <c r="K327" s="103"/>
      <c r="L327" s="103"/>
      <c r="M327" s="103">
        <v>104</v>
      </c>
      <c r="N327" s="103">
        <v>21</v>
      </c>
      <c r="O327" s="103"/>
      <c r="P327" s="103"/>
      <c r="Q327" s="103"/>
      <c r="R327" s="103"/>
      <c r="S327" s="103"/>
      <c r="T327" s="103"/>
      <c r="U327" s="103"/>
      <c r="V327" s="103"/>
      <c r="W327" s="103">
        <v>122</v>
      </c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>
        <v>3</v>
      </c>
      <c r="AK327" s="103"/>
      <c r="AL327" s="103"/>
      <c r="AM327" s="103">
        <v>125</v>
      </c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4" t="str">
        <f>HYPERLINK("http://www.openstreetmap.org/?mlat=33.2617&amp;mlon=43.9147&amp;zoom=12#map=12/33.2617/43.9147","Maplink1")</f>
        <v>Maplink1</v>
      </c>
      <c r="AX327" s="104" t="str">
        <f>HYPERLINK("https://www.google.iq/maps/search/+33.2617,43.9147/@33.2617,43.9147,14z?hl=en","Maplink2")</f>
        <v>Maplink2</v>
      </c>
      <c r="AY327" s="104" t="str">
        <f>HYPERLINK("http://www.bing.com/maps/?lvl=14&amp;sty=h&amp;cp=33.2617~43.9147&amp;sp=point.33.2617_43.9147","Maplink3")</f>
        <v>Maplink3</v>
      </c>
    </row>
    <row r="328" spans="1:51" x14ac:dyDescent="0.2">
      <c r="A328" s="102">
        <v>29531</v>
      </c>
      <c r="B328" s="103" t="s">
        <v>30</v>
      </c>
      <c r="C328" s="103" t="s">
        <v>85</v>
      </c>
      <c r="D328" s="103" t="s">
        <v>748</v>
      </c>
      <c r="E328" s="103" t="s">
        <v>749</v>
      </c>
      <c r="F328" s="103">
        <v>33.2170995197</v>
      </c>
      <c r="G328" s="103">
        <v>43.983781306499999</v>
      </c>
      <c r="H328" s="102">
        <v>81</v>
      </c>
      <c r="I328" s="102">
        <v>486</v>
      </c>
      <c r="J328" s="103"/>
      <c r="K328" s="103"/>
      <c r="L328" s="103"/>
      <c r="M328" s="103">
        <v>81</v>
      </c>
      <c r="N328" s="103"/>
      <c r="O328" s="103"/>
      <c r="P328" s="103"/>
      <c r="Q328" s="103"/>
      <c r="R328" s="103"/>
      <c r="S328" s="103"/>
      <c r="T328" s="103"/>
      <c r="U328" s="103"/>
      <c r="V328" s="103"/>
      <c r="W328" s="103">
        <v>81</v>
      </c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>
        <v>33</v>
      </c>
      <c r="AP328" s="103">
        <v>48</v>
      </c>
      <c r="AQ328" s="103"/>
      <c r="AR328" s="103"/>
      <c r="AS328" s="103"/>
      <c r="AT328" s="103"/>
      <c r="AU328" s="103"/>
      <c r="AV328" s="103"/>
      <c r="AW328" s="104" t="str">
        <f>HYPERLINK("http://www.openstreetmap.org/?mlat=33.2171&amp;mlon=43.9838&amp;zoom=12#map=12/33.2171/43.9838","Maplink1")</f>
        <v>Maplink1</v>
      </c>
      <c r="AX328" s="104" t="str">
        <f>HYPERLINK("https://www.google.iq/maps/search/+33.2171,43.9838/@33.2171,43.9838,14z?hl=en","Maplink2")</f>
        <v>Maplink2</v>
      </c>
      <c r="AY328" s="104" t="str">
        <f>HYPERLINK("http://www.bing.com/maps/?lvl=14&amp;sty=h&amp;cp=33.2171~43.9838&amp;sp=point.33.2171_43.9838","Maplink3")</f>
        <v>Maplink3</v>
      </c>
    </row>
    <row r="329" spans="1:51" x14ac:dyDescent="0.2">
      <c r="A329" s="102">
        <v>33452</v>
      </c>
      <c r="B329" s="103" t="s">
        <v>30</v>
      </c>
      <c r="C329" s="103" t="s">
        <v>85</v>
      </c>
      <c r="D329" s="103" t="s">
        <v>750</v>
      </c>
      <c r="E329" s="103" t="s">
        <v>751</v>
      </c>
      <c r="F329" s="103">
        <v>33.360241000000002</v>
      </c>
      <c r="G329" s="103">
        <v>44.029331825500002</v>
      </c>
      <c r="H329" s="102">
        <v>58</v>
      </c>
      <c r="I329" s="102">
        <v>348</v>
      </c>
      <c r="J329" s="103"/>
      <c r="K329" s="103"/>
      <c r="L329" s="103"/>
      <c r="M329" s="103">
        <v>52</v>
      </c>
      <c r="N329" s="103">
        <v>6</v>
      </c>
      <c r="O329" s="103"/>
      <c r="P329" s="103"/>
      <c r="Q329" s="103"/>
      <c r="R329" s="103"/>
      <c r="S329" s="103"/>
      <c r="T329" s="103"/>
      <c r="U329" s="103"/>
      <c r="V329" s="103"/>
      <c r="W329" s="103">
        <v>58</v>
      </c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>
        <v>58</v>
      </c>
      <c r="AQ329" s="103"/>
      <c r="AR329" s="103"/>
      <c r="AS329" s="103"/>
      <c r="AT329" s="103"/>
      <c r="AU329" s="103"/>
      <c r="AV329" s="103"/>
      <c r="AW329" s="104" t="str">
        <f>HYPERLINK("http://www.openstreetmap.org/?mlat=33.3602&amp;mlon=44.0293&amp;zoom=12#map=12/33.3602/44.0293","Maplink1")</f>
        <v>Maplink1</v>
      </c>
      <c r="AX329" s="104" t="str">
        <f>HYPERLINK("https://www.google.iq/maps/search/+33.3602,44.0293/@33.3602,44.0293,14z?hl=en","Maplink2")</f>
        <v>Maplink2</v>
      </c>
      <c r="AY329" s="104" t="str">
        <f>HYPERLINK("http://www.bing.com/maps/?lvl=14&amp;sty=h&amp;cp=33.3602~44.0293&amp;sp=point.33.3602_44.0293","Maplink3")</f>
        <v>Maplink3</v>
      </c>
    </row>
    <row r="330" spans="1:51" x14ac:dyDescent="0.2">
      <c r="A330" s="102">
        <v>33302</v>
      </c>
      <c r="B330" s="103" t="s">
        <v>30</v>
      </c>
      <c r="C330" s="103" t="s">
        <v>85</v>
      </c>
      <c r="D330" s="103" t="s">
        <v>752</v>
      </c>
      <c r="E330" s="103" t="s">
        <v>753</v>
      </c>
      <c r="F330" s="103">
        <v>33.230867799999999</v>
      </c>
      <c r="G330" s="103">
        <v>43.9921340585</v>
      </c>
      <c r="H330" s="102">
        <v>61</v>
      </c>
      <c r="I330" s="102">
        <v>366</v>
      </c>
      <c r="J330" s="103"/>
      <c r="K330" s="103"/>
      <c r="L330" s="103"/>
      <c r="M330" s="103">
        <v>56</v>
      </c>
      <c r="N330" s="103">
        <v>5</v>
      </c>
      <c r="O330" s="103"/>
      <c r="P330" s="103"/>
      <c r="Q330" s="103"/>
      <c r="R330" s="103"/>
      <c r="S330" s="103"/>
      <c r="T330" s="103"/>
      <c r="U330" s="103"/>
      <c r="V330" s="103"/>
      <c r="W330" s="103">
        <v>61</v>
      </c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>
        <v>61</v>
      </c>
      <c r="AQ330" s="103"/>
      <c r="AR330" s="103"/>
      <c r="AS330" s="103"/>
      <c r="AT330" s="103"/>
      <c r="AU330" s="103"/>
      <c r="AV330" s="103"/>
      <c r="AW330" s="104" t="str">
        <f>HYPERLINK("http://www.openstreetmap.org/?mlat=33.2309&amp;mlon=43.9921&amp;zoom=12#map=12/33.2309/43.9921","Maplink1")</f>
        <v>Maplink1</v>
      </c>
      <c r="AX330" s="104" t="str">
        <f>HYPERLINK("https://www.google.iq/maps/search/+33.2309,43.9921/@33.2309,43.9921,14z?hl=en","Maplink2")</f>
        <v>Maplink2</v>
      </c>
      <c r="AY330" s="104" t="str">
        <f>HYPERLINK("http://www.bing.com/maps/?lvl=14&amp;sty=h&amp;cp=33.2309~43.9921&amp;sp=point.33.2309_43.9921","Maplink3")</f>
        <v>Maplink3</v>
      </c>
    </row>
    <row r="331" spans="1:51" x14ac:dyDescent="0.2">
      <c r="A331" s="102">
        <v>32034</v>
      </c>
      <c r="B331" s="103" t="s">
        <v>30</v>
      </c>
      <c r="C331" s="103" t="s">
        <v>85</v>
      </c>
      <c r="D331" s="103" t="s">
        <v>754</v>
      </c>
      <c r="E331" s="103" t="s">
        <v>755</v>
      </c>
      <c r="F331" s="103">
        <v>33.193247999999997</v>
      </c>
      <c r="G331" s="103">
        <v>43.955624070500001</v>
      </c>
      <c r="H331" s="102">
        <v>101</v>
      </c>
      <c r="I331" s="102">
        <v>606</v>
      </c>
      <c r="J331" s="103"/>
      <c r="K331" s="103"/>
      <c r="L331" s="103"/>
      <c r="M331" s="103">
        <v>94</v>
      </c>
      <c r="N331" s="103">
        <v>7</v>
      </c>
      <c r="O331" s="103"/>
      <c r="P331" s="103"/>
      <c r="Q331" s="103"/>
      <c r="R331" s="103"/>
      <c r="S331" s="103"/>
      <c r="T331" s="103"/>
      <c r="U331" s="103"/>
      <c r="V331" s="103"/>
      <c r="W331" s="103">
        <v>76</v>
      </c>
      <c r="X331" s="103"/>
      <c r="Y331" s="103"/>
      <c r="Z331" s="103"/>
      <c r="AA331" s="103">
        <v>22</v>
      </c>
      <c r="AB331" s="103"/>
      <c r="AC331" s="103"/>
      <c r="AD331" s="103"/>
      <c r="AE331" s="103"/>
      <c r="AF331" s="103"/>
      <c r="AG331" s="103"/>
      <c r="AH331" s="103"/>
      <c r="AI331" s="103"/>
      <c r="AJ331" s="103">
        <v>3</v>
      </c>
      <c r="AK331" s="103"/>
      <c r="AL331" s="103"/>
      <c r="AM331" s="103"/>
      <c r="AN331" s="103"/>
      <c r="AO331" s="103"/>
      <c r="AP331" s="103">
        <v>101</v>
      </c>
      <c r="AQ331" s="103"/>
      <c r="AR331" s="103"/>
      <c r="AS331" s="103"/>
      <c r="AT331" s="103"/>
      <c r="AU331" s="103"/>
      <c r="AV331" s="103"/>
      <c r="AW331" s="104" t="str">
        <f>HYPERLINK("http://www.openstreetmap.org/?mlat=33.1932&amp;mlon=43.9556&amp;zoom=12#map=12/33.1932/43.9556","Maplink1")</f>
        <v>Maplink1</v>
      </c>
      <c r="AX331" s="104" t="str">
        <f>HYPERLINK("https://www.google.iq/maps/search/+33.1932,43.9556/@33.1932,43.9556,14z?hl=en","Maplink2")</f>
        <v>Maplink2</v>
      </c>
      <c r="AY331" s="104" t="str">
        <f>HYPERLINK("http://www.bing.com/maps/?lvl=14&amp;sty=h&amp;cp=33.1932~43.9556&amp;sp=point.33.1932_43.9556","Maplink3")</f>
        <v>Maplink3</v>
      </c>
    </row>
    <row r="332" spans="1:51" x14ac:dyDescent="0.2">
      <c r="A332" s="102">
        <v>29496</v>
      </c>
      <c r="B332" s="103" t="s">
        <v>30</v>
      </c>
      <c r="C332" s="103" t="s">
        <v>85</v>
      </c>
      <c r="D332" s="103" t="s">
        <v>778</v>
      </c>
      <c r="E332" s="103" t="s">
        <v>779</v>
      </c>
      <c r="F332" s="103">
        <v>33.387210281500003</v>
      </c>
      <c r="G332" s="103">
        <v>44.106281608899998</v>
      </c>
      <c r="H332" s="102">
        <v>37</v>
      </c>
      <c r="I332" s="102">
        <v>222</v>
      </c>
      <c r="J332" s="103"/>
      <c r="K332" s="103"/>
      <c r="L332" s="103"/>
      <c r="M332" s="103">
        <v>37</v>
      </c>
      <c r="N332" s="103"/>
      <c r="O332" s="103"/>
      <c r="P332" s="103"/>
      <c r="Q332" s="103"/>
      <c r="R332" s="103"/>
      <c r="S332" s="103"/>
      <c r="T332" s="103"/>
      <c r="U332" s="103"/>
      <c r="V332" s="103"/>
      <c r="W332" s="103">
        <v>37</v>
      </c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>
        <v>37</v>
      </c>
      <c r="AQ332" s="103"/>
      <c r="AR332" s="103"/>
      <c r="AS332" s="103"/>
      <c r="AT332" s="103"/>
      <c r="AU332" s="103"/>
      <c r="AV332" s="103"/>
      <c r="AW332" s="104" t="str">
        <f>HYPERLINK("http://www.openstreetmap.org/?mlat=33.3872&amp;mlon=44.1063&amp;zoom=12#map=12/33.3872/44.1063","Maplink1")</f>
        <v>Maplink1</v>
      </c>
      <c r="AX332" s="104" t="str">
        <f>HYPERLINK("https://www.google.iq/maps/search/+33.3872,44.1063/@33.3872,44.1063,14z?hl=en","Maplink2")</f>
        <v>Maplink2</v>
      </c>
      <c r="AY332" s="104" t="str">
        <f>HYPERLINK("http://www.bing.com/maps/?lvl=14&amp;sty=h&amp;cp=33.3872~44.1063&amp;sp=point.33.3872_44.1063","Maplink3")</f>
        <v>Maplink3</v>
      </c>
    </row>
    <row r="333" spans="1:51" x14ac:dyDescent="0.2">
      <c r="A333" s="102">
        <v>33304</v>
      </c>
      <c r="B333" s="103" t="s">
        <v>30</v>
      </c>
      <c r="C333" s="103" t="s">
        <v>85</v>
      </c>
      <c r="D333" s="103" t="s">
        <v>780</v>
      </c>
      <c r="E333" s="103" t="s">
        <v>781</v>
      </c>
      <c r="F333" s="103">
        <v>33.218113000000002</v>
      </c>
      <c r="G333" s="103">
        <v>44.0289941367</v>
      </c>
      <c r="H333" s="102">
        <v>53</v>
      </c>
      <c r="I333" s="102">
        <v>318</v>
      </c>
      <c r="J333" s="103"/>
      <c r="K333" s="103"/>
      <c r="L333" s="103"/>
      <c r="M333" s="103">
        <v>47</v>
      </c>
      <c r="N333" s="103">
        <v>6</v>
      </c>
      <c r="O333" s="103"/>
      <c r="P333" s="103"/>
      <c r="Q333" s="103"/>
      <c r="R333" s="103"/>
      <c r="S333" s="103"/>
      <c r="T333" s="103"/>
      <c r="U333" s="103"/>
      <c r="V333" s="103"/>
      <c r="W333" s="103">
        <v>53</v>
      </c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>
        <v>53</v>
      </c>
      <c r="AQ333" s="103"/>
      <c r="AR333" s="103"/>
      <c r="AS333" s="103"/>
      <c r="AT333" s="103"/>
      <c r="AU333" s="103"/>
      <c r="AV333" s="103"/>
      <c r="AW333" s="104" t="str">
        <f>HYPERLINK("http://www.openstreetmap.org/?mlat=33.2181&amp;mlon=44.029&amp;zoom=12#map=12/33.2181/44.029","Maplink1")</f>
        <v>Maplink1</v>
      </c>
      <c r="AX333" s="104" t="str">
        <f>HYPERLINK("https://www.google.iq/maps/search/+33.2181,44.029/@33.2181,44.029,14z?hl=en","Maplink2")</f>
        <v>Maplink2</v>
      </c>
      <c r="AY333" s="104" t="str">
        <f>HYPERLINK("http://www.bing.com/maps/?lvl=14&amp;sty=h&amp;cp=33.2181~44.029&amp;sp=point.33.2181_44.029","Maplink3")</f>
        <v>Maplink3</v>
      </c>
    </row>
    <row r="334" spans="1:51" x14ac:dyDescent="0.2">
      <c r="A334" s="102">
        <v>33525</v>
      </c>
      <c r="B334" s="103" t="s">
        <v>30</v>
      </c>
      <c r="C334" s="103" t="s">
        <v>85</v>
      </c>
      <c r="D334" s="103" t="s">
        <v>782</v>
      </c>
      <c r="E334" s="103" t="s">
        <v>783</v>
      </c>
      <c r="F334" s="103">
        <v>33.349173034400003</v>
      </c>
      <c r="G334" s="103">
        <v>44.0550916121</v>
      </c>
      <c r="H334" s="102">
        <v>75</v>
      </c>
      <c r="I334" s="102">
        <v>450</v>
      </c>
      <c r="J334" s="103"/>
      <c r="K334" s="103"/>
      <c r="L334" s="103"/>
      <c r="M334" s="103">
        <v>68</v>
      </c>
      <c r="N334" s="103">
        <v>7</v>
      </c>
      <c r="O334" s="103"/>
      <c r="P334" s="103"/>
      <c r="Q334" s="103"/>
      <c r="R334" s="103"/>
      <c r="S334" s="103"/>
      <c r="T334" s="103"/>
      <c r="U334" s="103"/>
      <c r="V334" s="103"/>
      <c r="W334" s="103">
        <v>57</v>
      </c>
      <c r="X334" s="103"/>
      <c r="Y334" s="103"/>
      <c r="Z334" s="103"/>
      <c r="AA334" s="103">
        <v>10</v>
      </c>
      <c r="AB334" s="103"/>
      <c r="AC334" s="103"/>
      <c r="AD334" s="103"/>
      <c r="AE334" s="103"/>
      <c r="AF334" s="103"/>
      <c r="AG334" s="103"/>
      <c r="AH334" s="103"/>
      <c r="AI334" s="103"/>
      <c r="AJ334" s="103">
        <v>8</v>
      </c>
      <c r="AK334" s="103"/>
      <c r="AL334" s="103"/>
      <c r="AM334" s="103"/>
      <c r="AN334" s="103"/>
      <c r="AO334" s="103"/>
      <c r="AP334" s="103">
        <v>75</v>
      </c>
      <c r="AQ334" s="103"/>
      <c r="AR334" s="103"/>
      <c r="AS334" s="103"/>
      <c r="AT334" s="103"/>
      <c r="AU334" s="103"/>
      <c r="AV334" s="103"/>
      <c r="AW334" s="104" t="str">
        <f>HYPERLINK("http://www.openstreetmap.org/?mlat=33.3492&amp;mlon=44.0551&amp;zoom=12#map=12/33.3492/44.0551","Maplink1")</f>
        <v>Maplink1</v>
      </c>
      <c r="AX334" s="104" t="str">
        <f>HYPERLINK("https://www.google.iq/maps/search/+33.3492,44.0551/@33.3492,44.0551,14z?hl=en","Maplink2")</f>
        <v>Maplink2</v>
      </c>
      <c r="AY334" s="104" t="str">
        <f>HYPERLINK("http://www.bing.com/maps/?lvl=14&amp;sty=h&amp;cp=33.3492~44.0551&amp;sp=point.33.3492_44.0551","Maplink3")</f>
        <v>Maplink3</v>
      </c>
    </row>
    <row r="335" spans="1:51" x14ac:dyDescent="0.2">
      <c r="A335" s="102">
        <v>7674</v>
      </c>
      <c r="B335" s="103" t="s">
        <v>30</v>
      </c>
      <c r="C335" s="103" t="s">
        <v>85</v>
      </c>
      <c r="D335" s="103" t="s">
        <v>784</v>
      </c>
      <c r="E335" s="103" t="s">
        <v>785</v>
      </c>
      <c r="F335" s="103">
        <v>33.272156000000003</v>
      </c>
      <c r="G335" s="103">
        <v>43.939145646999997</v>
      </c>
      <c r="H335" s="102">
        <v>200</v>
      </c>
      <c r="I335" s="102">
        <v>1200</v>
      </c>
      <c r="J335" s="103"/>
      <c r="K335" s="103"/>
      <c r="L335" s="103"/>
      <c r="M335" s="103">
        <v>200</v>
      </c>
      <c r="N335" s="103"/>
      <c r="O335" s="103"/>
      <c r="P335" s="103"/>
      <c r="Q335" s="103"/>
      <c r="R335" s="103"/>
      <c r="S335" s="103"/>
      <c r="T335" s="103"/>
      <c r="U335" s="103"/>
      <c r="V335" s="103"/>
      <c r="W335" s="103">
        <v>200</v>
      </c>
      <c r="X335" s="103"/>
      <c r="Y335" s="103"/>
      <c r="Z335" s="103"/>
      <c r="AA335" s="103"/>
      <c r="AB335" s="103"/>
      <c r="AC335" s="103"/>
      <c r="AD335" s="103"/>
      <c r="AE335" s="103"/>
      <c r="AF335" s="103"/>
      <c r="AG335" s="103"/>
      <c r="AH335" s="103"/>
      <c r="AI335" s="103"/>
      <c r="AJ335" s="103"/>
      <c r="AK335" s="103"/>
      <c r="AL335" s="103"/>
      <c r="AM335" s="103"/>
      <c r="AN335" s="103"/>
      <c r="AO335" s="103"/>
      <c r="AP335" s="103">
        <v>200</v>
      </c>
      <c r="AQ335" s="103"/>
      <c r="AR335" s="103"/>
      <c r="AS335" s="103"/>
      <c r="AT335" s="103"/>
      <c r="AU335" s="103"/>
      <c r="AV335" s="103"/>
      <c r="AW335" s="104" t="str">
        <f>HYPERLINK("http://www.openstreetmap.org/?mlat=33.2722&amp;mlon=43.9391&amp;zoom=12#map=12/33.2722/43.9391","Maplink1")</f>
        <v>Maplink1</v>
      </c>
      <c r="AX335" s="104" t="str">
        <f>HYPERLINK("https://www.google.iq/maps/search/+33.2722,43.9391/@33.2722,43.9391,14z?hl=en","Maplink2")</f>
        <v>Maplink2</v>
      </c>
      <c r="AY335" s="104" t="str">
        <f>HYPERLINK("http://www.bing.com/maps/?lvl=14&amp;sty=h&amp;cp=33.2722~43.9391&amp;sp=point.33.2722_43.9391","Maplink3")</f>
        <v>Maplink3</v>
      </c>
    </row>
    <row r="336" spans="1:51" x14ac:dyDescent="0.2">
      <c r="A336" s="102">
        <v>29529</v>
      </c>
      <c r="B336" s="103" t="s">
        <v>30</v>
      </c>
      <c r="C336" s="103" t="s">
        <v>85</v>
      </c>
      <c r="D336" s="103" t="s">
        <v>766</v>
      </c>
      <c r="E336" s="103" t="s">
        <v>767</v>
      </c>
      <c r="F336" s="103">
        <v>33.220599444999998</v>
      </c>
      <c r="G336" s="103">
        <v>43.931014839600003</v>
      </c>
      <c r="H336" s="102">
        <v>406</v>
      </c>
      <c r="I336" s="102">
        <v>2436</v>
      </c>
      <c r="J336" s="103">
        <v>6</v>
      </c>
      <c r="K336" s="103"/>
      <c r="L336" s="103"/>
      <c r="M336" s="103">
        <v>375</v>
      </c>
      <c r="N336" s="103">
        <v>25</v>
      </c>
      <c r="O336" s="103"/>
      <c r="P336" s="103"/>
      <c r="Q336" s="103"/>
      <c r="R336" s="103"/>
      <c r="S336" s="103"/>
      <c r="T336" s="103"/>
      <c r="U336" s="103"/>
      <c r="V336" s="103"/>
      <c r="W336" s="103">
        <v>406</v>
      </c>
      <c r="X336" s="103"/>
      <c r="Y336" s="103"/>
      <c r="Z336" s="103"/>
      <c r="AA336" s="103"/>
      <c r="AB336" s="103"/>
      <c r="AC336" s="103"/>
      <c r="AD336" s="103"/>
      <c r="AE336" s="103"/>
      <c r="AF336" s="103"/>
      <c r="AG336" s="103"/>
      <c r="AH336" s="103"/>
      <c r="AI336" s="103"/>
      <c r="AJ336" s="103"/>
      <c r="AK336" s="103"/>
      <c r="AL336" s="103"/>
      <c r="AM336" s="103"/>
      <c r="AN336" s="103"/>
      <c r="AO336" s="103"/>
      <c r="AP336" s="103">
        <v>406</v>
      </c>
      <c r="AQ336" s="103"/>
      <c r="AR336" s="103"/>
      <c r="AS336" s="103"/>
      <c r="AT336" s="103"/>
      <c r="AU336" s="103"/>
      <c r="AV336" s="103"/>
      <c r="AW336" s="104" t="str">
        <f>HYPERLINK("http://www.openstreetmap.org/?mlat=33.2206&amp;mlon=43.931&amp;zoom=12#map=12/33.2206/43.931","Maplink1")</f>
        <v>Maplink1</v>
      </c>
      <c r="AX336" s="104" t="str">
        <f>HYPERLINK("https://www.google.iq/maps/search/+33.2206,43.931/@33.2206,43.931,14z?hl=en","Maplink2")</f>
        <v>Maplink2</v>
      </c>
      <c r="AY336" s="104" t="str">
        <f>HYPERLINK("http://www.bing.com/maps/?lvl=14&amp;sty=h&amp;cp=33.2206~43.931&amp;sp=point.33.2206_43.931","Maplink3")</f>
        <v>Maplink3</v>
      </c>
    </row>
    <row r="337" spans="1:51" x14ac:dyDescent="0.2">
      <c r="A337" s="102">
        <v>31719</v>
      </c>
      <c r="B337" s="103" t="s">
        <v>30</v>
      </c>
      <c r="C337" s="103" t="s">
        <v>85</v>
      </c>
      <c r="D337" s="103" t="s">
        <v>768</v>
      </c>
      <c r="E337" s="103" t="s">
        <v>769</v>
      </c>
      <c r="F337" s="103">
        <v>33.394005999999997</v>
      </c>
      <c r="G337" s="103">
        <v>44.030123000700002</v>
      </c>
      <c r="H337" s="102">
        <v>112</v>
      </c>
      <c r="I337" s="102">
        <v>672</v>
      </c>
      <c r="J337" s="103"/>
      <c r="K337" s="103"/>
      <c r="L337" s="103"/>
      <c r="M337" s="103">
        <v>103</v>
      </c>
      <c r="N337" s="103">
        <v>9</v>
      </c>
      <c r="O337" s="103"/>
      <c r="P337" s="103"/>
      <c r="Q337" s="103"/>
      <c r="R337" s="103"/>
      <c r="S337" s="103"/>
      <c r="T337" s="103"/>
      <c r="U337" s="103"/>
      <c r="V337" s="103"/>
      <c r="W337" s="103">
        <v>112</v>
      </c>
      <c r="X337" s="103"/>
      <c r="Y337" s="103"/>
      <c r="Z337" s="103"/>
      <c r="AA337" s="103"/>
      <c r="AB337" s="103"/>
      <c r="AC337" s="103"/>
      <c r="AD337" s="103"/>
      <c r="AE337" s="103"/>
      <c r="AF337" s="103"/>
      <c r="AG337" s="103"/>
      <c r="AH337" s="103"/>
      <c r="AI337" s="103"/>
      <c r="AJ337" s="103"/>
      <c r="AK337" s="103"/>
      <c r="AL337" s="103"/>
      <c r="AM337" s="103"/>
      <c r="AN337" s="103"/>
      <c r="AO337" s="103"/>
      <c r="AP337" s="103">
        <v>112</v>
      </c>
      <c r="AQ337" s="103"/>
      <c r="AR337" s="103"/>
      <c r="AS337" s="103"/>
      <c r="AT337" s="103"/>
      <c r="AU337" s="103"/>
      <c r="AV337" s="103"/>
      <c r="AW337" s="104" t="str">
        <f>HYPERLINK("http://www.openstreetmap.org/?mlat=33.394&amp;mlon=44.0301&amp;zoom=12#map=12/33.394/44.0301","Maplink1")</f>
        <v>Maplink1</v>
      </c>
      <c r="AX337" s="104" t="str">
        <f>HYPERLINK("https://www.google.iq/maps/search/+33.394,44.0301/@33.394,44.0301,14z?hl=en","Maplink2")</f>
        <v>Maplink2</v>
      </c>
      <c r="AY337" s="104" t="str">
        <f>HYPERLINK("http://www.bing.com/maps/?lvl=14&amp;sty=h&amp;cp=33.394~44.0301&amp;sp=point.33.394_44.0301","Maplink3")</f>
        <v>Maplink3</v>
      </c>
    </row>
    <row r="338" spans="1:51" x14ac:dyDescent="0.2">
      <c r="A338" s="102">
        <v>33101</v>
      </c>
      <c r="B338" s="103" t="s">
        <v>30</v>
      </c>
      <c r="C338" s="103" t="s">
        <v>85</v>
      </c>
      <c r="D338" s="103" t="s">
        <v>746</v>
      </c>
      <c r="E338" s="103" t="s">
        <v>747</v>
      </c>
      <c r="F338" s="103">
        <v>33.193179000000001</v>
      </c>
      <c r="G338" s="103">
        <v>43.974749443500002</v>
      </c>
      <c r="H338" s="102">
        <v>118</v>
      </c>
      <c r="I338" s="102">
        <v>708</v>
      </c>
      <c r="J338" s="103"/>
      <c r="K338" s="103"/>
      <c r="L338" s="103"/>
      <c r="M338" s="103">
        <v>99</v>
      </c>
      <c r="N338" s="103">
        <v>19</v>
      </c>
      <c r="O338" s="103"/>
      <c r="P338" s="103"/>
      <c r="Q338" s="103"/>
      <c r="R338" s="103"/>
      <c r="S338" s="103"/>
      <c r="T338" s="103"/>
      <c r="U338" s="103"/>
      <c r="V338" s="103"/>
      <c r="W338" s="103">
        <v>118</v>
      </c>
      <c r="X338" s="103"/>
      <c r="Y338" s="103"/>
      <c r="Z338" s="103"/>
      <c r="AA338" s="103"/>
      <c r="AB338" s="103"/>
      <c r="AC338" s="103"/>
      <c r="AD338" s="103"/>
      <c r="AE338" s="103"/>
      <c r="AF338" s="103"/>
      <c r="AG338" s="103"/>
      <c r="AH338" s="103"/>
      <c r="AI338" s="103"/>
      <c r="AJ338" s="103"/>
      <c r="AK338" s="103"/>
      <c r="AL338" s="103"/>
      <c r="AM338" s="103"/>
      <c r="AN338" s="103"/>
      <c r="AO338" s="103"/>
      <c r="AP338" s="103">
        <v>118</v>
      </c>
      <c r="AQ338" s="103"/>
      <c r="AR338" s="103"/>
      <c r="AS338" s="103"/>
      <c r="AT338" s="103"/>
      <c r="AU338" s="103"/>
      <c r="AV338" s="103"/>
      <c r="AW338" s="104" t="str">
        <f>HYPERLINK("http://www.openstreetmap.org/?mlat=33.1932&amp;mlon=43.9747&amp;zoom=12#map=12/33.1932/43.9747","Maplink1")</f>
        <v>Maplink1</v>
      </c>
      <c r="AX338" s="104" t="str">
        <f>HYPERLINK("https://www.google.iq/maps/search/+33.1932,43.9747/@33.1932,43.9747,14z?hl=en","Maplink2")</f>
        <v>Maplink2</v>
      </c>
      <c r="AY338" s="104" t="str">
        <f>HYPERLINK("http://www.bing.com/maps/?lvl=14&amp;sty=h&amp;cp=33.1932~43.9747&amp;sp=point.33.1932_43.9747","Maplink3")</f>
        <v>Maplink3</v>
      </c>
    </row>
    <row r="339" spans="1:51" x14ac:dyDescent="0.2">
      <c r="A339" s="102">
        <v>29494</v>
      </c>
      <c r="B339" s="103" t="s">
        <v>30</v>
      </c>
      <c r="C339" s="103" t="s">
        <v>85</v>
      </c>
      <c r="D339" s="103" t="s">
        <v>762</v>
      </c>
      <c r="E339" s="103" t="s">
        <v>763</v>
      </c>
      <c r="F339" s="103">
        <v>33.426241383799997</v>
      </c>
      <c r="G339" s="103">
        <v>44.0591040535</v>
      </c>
      <c r="H339" s="102">
        <v>28</v>
      </c>
      <c r="I339" s="102">
        <v>168</v>
      </c>
      <c r="J339" s="103"/>
      <c r="K339" s="103"/>
      <c r="L339" s="103"/>
      <c r="M339" s="103">
        <v>28</v>
      </c>
      <c r="N339" s="103"/>
      <c r="O339" s="103"/>
      <c r="P339" s="103"/>
      <c r="Q339" s="103"/>
      <c r="R339" s="103"/>
      <c r="S339" s="103"/>
      <c r="T339" s="103"/>
      <c r="U339" s="103"/>
      <c r="V339" s="103"/>
      <c r="W339" s="103">
        <v>28</v>
      </c>
      <c r="X339" s="103"/>
      <c r="Y339" s="103"/>
      <c r="Z339" s="103"/>
      <c r="AA339" s="103"/>
      <c r="AB339" s="103"/>
      <c r="AC339" s="103"/>
      <c r="AD339" s="103"/>
      <c r="AE339" s="103"/>
      <c r="AF339" s="103"/>
      <c r="AG339" s="103"/>
      <c r="AH339" s="103"/>
      <c r="AI339" s="103"/>
      <c r="AJ339" s="103"/>
      <c r="AK339" s="103"/>
      <c r="AL339" s="103"/>
      <c r="AM339" s="103"/>
      <c r="AN339" s="103"/>
      <c r="AO339" s="103">
        <v>28</v>
      </c>
      <c r="AP339" s="103"/>
      <c r="AQ339" s="103"/>
      <c r="AR339" s="103"/>
      <c r="AS339" s="103"/>
      <c r="AT339" s="103"/>
      <c r="AU339" s="103"/>
      <c r="AV339" s="103"/>
      <c r="AW339" s="104" t="str">
        <f>HYPERLINK("http://www.openstreetmap.org/?mlat=33.4262&amp;mlon=44.0591&amp;zoom=12#map=12/33.4262/44.0591","Maplink1")</f>
        <v>Maplink1</v>
      </c>
      <c r="AX339" s="104" t="str">
        <f>HYPERLINK("https://www.google.iq/maps/search/+33.4262,44.0591/@33.4262,44.0591,14z?hl=en","Maplink2")</f>
        <v>Maplink2</v>
      </c>
      <c r="AY339" s="104" t="str">
        <f>HYPERLINK("http://www.bing.com/maps/?lvl=14&amp;sty=h&amp;cp=33.4262~44.0591&amp;sp=point.33.4262_44.0591","Maplink3")</f>
        <v>Maplink3</v>
      </c>
    </row>
    <row r="340" spans="1:51" x14ac:dyDescent="0.2">
      <c r="A340" s="102">
        <v>33395</v>
      </c>
      <c r="B340" s="103" t="s">
        <v>30</v>
      </c>
      <c r="C340" s="103" t="s">
        <v>85</v>
      </c>
      <c r="D340" s="103" t="s">
        <v>764</v>
      </c>
      <c r="E340" s="103" t="s">
        <v>765</v>
      </c>
      <c r="F340" s="103">
        <v>33.350561999999996</v>
      </c>
      <c r="G340" s="103">
        <v>44.0238815194</v>
      </c>
      <c r="H340" s="102">
        <v>106</v>
      </c>
      <c r="I340" s="102">
        <v>636</v>
      </c>
      <c r="J340" s="103"/>
      <c r="K340" s="103"/>
      <c r="L340" s="103"/>
      <c r="M340" s="103">
        <v>69</v>
      </c>
      <c r="N340" s="103">
        <v>37</v>
      </c>
      <c r="O340" s="103"/>
      <c r="P340" s="103"/>
      <c r="Q340" s="103"/>
      <c r="R340" s="103"/>
      <c r="S340" s="103"/>
      <c r="T340" s="103"/>
      <c r="U340" s="103"/>
      <c r="V340" s="103"/>
      <c r="W340" s="103">
        <v>106</v>
      </c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>
        <v>106</v>
      </c>
      <c r="AN340" s="103"/>
      <c r="AO340" s="103"/>
      <c r="AP340" s="103"/>
      <c r="AQ340" s="103"/>
      <c r="AR340" s="103"/>
      <c r="AS340" s="103"/>
      <c r="AT340" s="103"/>
      <c r="AU340" s="103"/>
      <c r="AV340" s="103"/>
      <c r="AW340" s="104" t="str">
        <f>HYPERLINK("http://www.openstreetmap.org/?mlat=33.3506&amp;mlon=44.0239&amp;zoom=12#map=12/33.3506/44.0239","Maplink1")</f>
        <v>Maplink1</v>
      </c>
      <c r="AX340" s="104" t="str">
        <f>HYPERLINK("https://www.google.iq/maps/search/+33.3506,44.0239/@33.3506,44.0239,14z?hl=en","Maplink2")</f>
        <v>Maplink2</v>
      </c>
      <c r="AY340" s="104" t="str">
        <f>HYPERLINK("http://www.bing.com/maps/?lvl=14&amp;sty=h&amp;cp=33.3506~44.0239&amp;sp=point.33.3506_44.0239","Maplink3")</f>
        <v>Maplink3</v>
      </c>
    </row>
    <row r="341" spans="1:51" x14ac:dyDescent="0.2">
      <c r="A341" s="102">
        <v>32035</v>
      </c>
      <c r="B341" s="103" t="s">
        <v>30</v>
      </c>
      <c r="C341" s="103" t="s">
        <v>85</v>
      </c>
      <c r="D341" s="103" t="s">
        <v>772</v>
      </c>
      <c r="E341" s="103" t="s">
        <v>773</v>
      </c>
      <c r="F341" s="103">
        <v>33.212378999999999</v>
      </c>
      <c r="G341" s="103">
        <v>43.929376800699998</v>
      </c>
      <c r="H341" s="102">
        <v>94</v>
      </c>
      <c r="I341" s="102">
        <v>564</v>
      </c>
      <c r="J341" s="103"/>
      <c r="K341" s="103"/>
      <c r="L341" s="103"/>
      <c r="M341" s="103">
        <v>83</v>
      </c>
      <c r="N341" s="103">
        <v>11</v>
      </c>
      <c r="O341" s="103"/>
      <c r="P341" s="103"/>
      <c r="Q341" s="103"/>
      <c r="R341" s="103"/>
      <c r="S341" s="103"/>
      <c r="T341" s="103"/>
      <c r="U341" s="103"/>
      <c r="V341" s="103"/>
      <c r="W341" s="103">
        <v>75</v>
      </c>
      <c r="X341" s="103"/>
      <c r="Y341" s="103"/>
      <c r="Z341" s="103"/>
      <c r="AA341" s="103">
        <v>17</v>
      </c>
      <c r="AB341" s="103"/>
      <c r="AC341" s="103"/>
      <c r="AD341" s="103"/>
      <c r="AE341" s="103"/>
      <c r="AF341" s="103"/>
      <c r="AG341" s="103"/>
      <c r="AH341" s="103"/>
      <c r="AI341" s="103"/>
      <c r="AJ341" s="103">
        <v>2</v>
      </c>
      <c r="AK341" s="103"/>
      <c r="AL341" s="103"/>
      <c r="AM341" s="103"/>
      <c r="AN341" s="103"/>
      <c r="AO341" s="103"/>
      <c r="AP341" s="103">
        <v>94</v>
      </c>
      <c r="AQ341" s="103"/>
      <c r="AR341" s="103"/>
      <c r="AS341" s="103"/>
      <c r="AT341" s="103"/>
      <c r="AU341" s="103"/>
      <c r="AV341" s="103"/>
      <c r="AW341" s="104" t="str">
        <f>HYPERLINK("http://www.openstreetmap.org/?mlat=33.2124&amp;mlon=43.9294&amp;zoom=12#map=12/33.2124/43.9294","Maplink1")</f>
        <v>Maplink1</v>
      </c>
      <c r="AX341" s="104" t="str">
        <f>HYPERLINK("https://www.google.iq/maps/search/+33.2124,43.9294/@33.2124,43.9294,14z?hl=en","Maplink2")</f>
        <v>Maplink2</v>
      </c>
      <c r="AY341" s="104" t="str">
        <f>HYPERLINK("http://www.bing.com/maps/?lvl=14&amp;sty=h&amp;cp=33.2124~43.9294&amp;sp=point.33.2124_43.9294","Maplink3")</f>
        <v>Maplink3</v>
      </c>
    </row>
    <row r="342" spans="1:51" x14ac:dyDescent="0.2">
      <c r="A342" s="102">
        <v>33301</v>
      </c>
      <c r="B342" s="103" t="s">
        <v>30</v>
      </c>
      <c r="C342" s="103" t="s">
        <v>85</v>
      </c>
      <c r="D342" s="103" t="s">
        <v>786</v>
      </c>
      <c r="E342" s="103" t="s">
        <v>787</v>
      </c>
      <c r="F342" s="103">
        <v>33.233949000000003</v>
      </c>
      <c r="G342" s="103">
        <v>43.916446071999999</v>
      </c>
      <c r="H342" s="102">
        <v>100</v>
      </c>
      <c r="I342" s="102">
        <v>600</v>
      </c>
      <c r="J342" s="103"/>
      <c r="K342" s="103"/>
      <c r="L342" s="103"/>
      <c r="M342" s="103">
        <v>80</v>
      </c>
      <c r="N342" s="103">
        <v>20</v>
      </c>
      <c r="O342" s="103"/>
      <c r="P342" s="103"/>
      <c r="Q342" s="103"/>
      <c r="R342" s="103"/>
      <c r="S342" s="103"/>
      <c r="T342" s="103"/>
      <c r="U342" s="103"/>
      <c r="V342" s="103"/>
      <c r="W342" s="103">
        <v>100</v>
      </c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>
        <v>100</v>
      </c>
      <c r="AQ342" s="103"/>
      <c r="AR342" s="103"/>
      <c r="AS342" s="103"/>
      <c r="AT342" s="103"/>
      <c r="AU342" s="103"/>
      <c r="AV342" s="103"/>
      <c r="AW342" s="104" t="str">
        <f>HYPERLINK("http://www.openstreetmap.org/?mlat=33.2339&amp;mlon=43.9164&amp;zoom=12#map=12/33.2339/43.9164","Maplink1")</f>
        <v>Maplink1</v>
      </c>
      <c r="AX342" s="104" t="str">
        <f>HYPERLINK("https://www.google.iq/maps/search/+33.2339,43.9164/@33.2339,43.9164,14z?hl=en","Maplink2")</f>
        <v>Maplink2</v>
      </c>
      <c r="AY342" s="104" t="str">
        <f>HYPERLINK("http://www.bing.com/maps/?lvl=14&amp;sty=h&amp;cp=33.2339~43.9164&amp;sp=point.33.2339_43.9164","Maplink3")</f>
        <v>Maplink3</v>
      </c>
    </row>
    <row r="343" spans="1:51" x14ac:dyDescent="0.2">
      <c r="A343" s="102">
        <v>6378</v>
      </c>
      <c r="B343" s="103" t="s">
        <v>30</v>
      </c>
      <c r="C343" s="103" t="s">
        <v>85</v>
      </c>
      <c r="D343" s="103" t="s">
        <v>770</v>
      </c>
      <c r="E343" s="103" t="s">
        <v>771</v>
      </c>
      <c r="F343" s="103">
        <v>33.208370100000003</v>
      </c>
      <c r="G343" s="103">
        <v>43.925719082599997</v>
      </c>
      <c r="H343" s="102">
        <v>187</v>
      </c>
      <c r="I343" s="102">
        <v>1122</v>
      </c>
      <c r="J343" s="103"/>
      <c r="K343" s="103"/>
      <c r="L343" s="103"/>
      <c r="M343" s="103">
        <v>185</v>
      </c>
      <c r="N343" s="103">
        <v>2</v>
      </c>
      <c r="O343" s="103"/>
      <c r="P343" s="103"/>
      <c r="Q343" s="103"/>
      <c r="R343" s="103"/>
      <c r="S343" s="103"/>
      <c r="T343" s="103"/>
      <c r="U343" s="103"/>
      <c r="V343" s="103"/>
      <c r="W343" s="103">
        <v>187</v>
      </c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>
        <v>187</v>
      </c>
      <c r="AQ343" s="103"/>
      <c r="AR343" s="103"/>
      <c r="AS343" s="103"/>
      <c r="AT343" s="103"/>
      <c r="AU343" s="103"/>
      <c r="AV343" s="103"/>
      <c r="AW343" s="104" t="str">
        <f>HYPERLINK("http://www.openstreetmap.org/?mlat=33.2084&amp;mlon=43.9257&amp;zoom=12#map=12/33.2084/43.9257","Maplink1")</f>
        <v>Maplink1</v>
      </c>
      <c r="AX343" s="104" t="str">
        <f>HYPERLINK("https://www.google.iq/maps/search/+33.2084,43.9257/@33.2084,43.9257,14z?hl=en","Maplink2")</f>
        <v>Maplink2</v>
      </c>
      <c r="AY343" s="104" t="str">
        <f>HYPERLINK("http://www.bing.com/maps/?lvl=14&amp;sty=h&amp;cp=33.2084~43.9257&amp;sp=point.33.2084_43.9257","Maplink3")</f>
        <v>Maplink3</v>
      </c>
    </row>
    <row r="344" spans="1:51" x14ac:dyDescent="0.2">
      <c r="A344" s="102">
        <v>29532</v>
      </c>
      <c r="B344" s="103" t="s">
        <v>30</v>
      </c>
      <c r="C344" s="103" t="s">
        <v>85</v>
      </c>
      <c r="D344" s="103" t="s">
        <v>756</v>
      </c>
      <c r="E344" s="103" t="s">
        <v>757</v>
      </c>
      <c r="F344" s="103">
        <v>33.218278196699998</v>
      </c>
      <c r="G344" s="103">
        <v>43.953345151199997</v>
      </c>
      <c r="H344" s="102">
        <v>118</v>
      </c>
      <c r="I344" s="102">
        <v>708</v>
      </c>
      <c r="J344" s="103"/>
      <c r="K344" s="103"/>
      <c r="L344" s="103"/>
      <c r="M344" s="103">
        <v>113</v>
      </c>
      <c r="N344" s="103">
        <v>5</v>
      </c>
      <c r="O344" s="103"/>
      <c r="P344" s="103"/>
      <c r="Q344" s="103"/>
      <c r="R344" s="103"/>
      <c r="S344" s="103"/>
      <c r="T344" s="103"/>
      <c r="U344" s="103"/>
      <c r="V344" s="103"/>
      <c r="W344" s="103">
        <v>117</v>
      </c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>
        <v>1</v>
      </c>
      <c r="AK344" s="103"/>
      <c r="AL344" s="103"/>
      <c r="AM344" s="103"/>
      <c r="AN344" s="103"/>
      <c r="AO344" s="103">
        <v>118</v>
      </c>
      <c r="AP344" s="103"/>
      <c r="AQ344" s="103"/>
      <c r="AR344" s="103"/>
      <c r="AS344" s="103"/>
      <c r="AT344" s="103"/>
      <c r="AU344" s="103"/>
      <c r="AV344" s="103"/>
      <c r="AW344" s="104" t="str">
        <f>HYPERLINK("http://www.openstreetmap.org/?mlat=33.2183&amp;mlon=43.9533&amp;zoom=12#map=12/33.2183/43.9533","Maplink1")</f>
        <v>Maplink1</v>
      </c>
      <c r="AX344" s="104" t="str">
        <f>HYPERLINK("https://www.google.iq/maps/search/+33.2183,43.9533/@33.2183,43.9533,14z?hl=en","Maplink2")</f>
        <v>Maplink2</v>
      </c>
      <c r="AY344" s="104" t="str">
        <f>HYPERLINK("http://www.bing.com/maps/?lvl=14&amp;sty=h&amp;cp=33.2183~43.9533&amp;sp=point.33.2183_43.9533","Maplink3")</f>
        <v>Maplink3</v>
      </c>
    </row>
    <row r="345" spans="1:51" x14ac:dyDescent="0.2">
      <c r="A345" s="102">
        <v>31710</v>
      </c>
      <c r="B345" s="103" t="s">
        <v>30</v>
      </c>
      <c r="C345" s="103" t="s">
        <v>85</v>
      </c>
      <c r="D345" s="103" t="s">
        <v>758</v>
      </c>
      <c r="E345" s="103" t="s">
        <v>759</v>
      </c>
      <c r="F345" s="103">
        <v>33.270892000000003</v>
      </c>
      <c r="G345" s="103">
        <v>44.0249779098</v>
      </c>
      <c r="H345" s="102">
        <v>260</v>
      </c>
      <c r="I345" s="102">
        <v>1560</v>
      </c>
      <c r="J345" s="103"/>
      <c r="K345" s="103"/>
      <c r="L345" s="103"/>
      <c r="M345" s="103">
        <v>240</v>
      </c>
      <c r="N345" s="103">
        <v>20</v>
      </c>
      <c r="O345" s="103"/>
      <c r="P345" s="103"/>
      <c r="Q345" s="103"/>
      <c r="R345" s="103"/>
      <c r="S345" s="103"/>
      <c r="T345" s="103"/>
      <c r="U345" s="103"/>
      <c r="V345" s="103"/>
      <c r="W345" s="103">
        <v>260</v>
      </c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>
        <v>110</v>
      </c>
      <c r="AN345" s="103"/>
      <c r="AO345" s="103"/>
      <c r="AP345" s="103">
        <v>150</v>
      </c>
      <c r="AQ345" s="103"/>
      <c r="AR345" s="103"/>
      <c r="AS345" s="103"/>
      <c r="AT345" s="103"/>
      <c r="AU345" s="103"/>
      <c r="AV345" s="103"/>
      <c r="AW345" s="104" t="str">
        <f>HYPERLINK("http://www.openstreetmap.org/?mlat=33.2709&amp;mlon=44.025&amp;zoom=12#map=12/33.2709/44.025","Maplink1")</f>
        <v>Maplink1</v>
      </c>
      <c r="AX345" s="104" t="str">
        <f>HYPERLINK("https://www.google.iq/maps/search/+33.2709,44.025/@33.2709,44.025,14z?hl=en","Maplink2")</f>
        <v>Maplink2</v>
      </c>
      <c r="AY345" s="104" t="str">
        <f>HYPERLINK("http://www.bing.com/maps/?lvl=14&amp;sty=h&amp;cp=33.2709~44.025&amp;sp=point.33.2709_44.025","Maplink3")</f>
        <v>Maplink3</v>
      </c>
    </row>
    <row r="346" spans="1:51" x14ac:dyDescent="0.2">
      <c r="A346" s="102">
        <v>32036</v>
      </c>
      <c r="B346" s="103" t="s">
        <v>30</v>
      </c>
      <c r="C346" s="103" t="s">
        <v>85</v>
      </c>
      <c r="D346" s="103" t="s">
        <v>760</v>
      </c>
      <c r="E346" s="103" t="s">
        <v>761</v>
      </c>
      <c r="F346" s="103">
        <v>33.234014999999999</v>
      </c>
      <c r="G346" s="103">
        <v>43.942042177799998</v>
      </c>
      <c r="H346" s="102">
        <v>135</v>
      </c>
      <c r="I346" s="102">
        <v>810</v>
      </c>
      <c r="J346" s="103"/>
      <c r="K346" s="103"/>
      <c r="L346" s="103"/>
      <c r="M346" s="103">
        <v>123</v>
      </c>
      <c r="N346" s="103">
        <v>12</v>
      </c>
      <c r="O346" s="103"/>
      <c r="P346" s="103"/>
      <c r="Q346" s="103"/>
      <c r="R346" s="103"/>
      <c r="S346" s="103"/>
      <c r="T346" s="103"/>
      <c r="U346" s="103"/>
      <c r="V346" s="103"/>
      <c r="W346" s="103">
        <v>109</v>
      </c>
      <c r="X346" s="103"/>
      <c r="Y346" s="103"/>
      <c r="Z346" s="103"/>
      <c r="AA346" s="103">
        <v>24</v>
      </c>
      <c r="AB346" s="103"/>
      <c r="AC346" s="103"/>
      <c r="AD346" s="103"/>
      <c r="AE346" s="103"/>
      <c r="AF346" s="103"/>
      <c r="AG346" s="103"/>
      <c r="AH346" s="103"/>
      <c r="AI346" s="103"/>
      <c r="AJ346" s="103">
        <v>2</v>
      </c>
      <c r="AK346" s="103"/>
      <c r="AL346" s="103"/>
      <c r="AM346" s="103">
        <v>83</v>
      </c>
      <c r="AN346" s="103"/>
      <c r="AO346" s="103"/>
      <c r="AP346" s="103">
        <v>52</v>
      </c>
      <c r="AQ346" s="103"/>
      <c r="AR346" s="103"/>
      <c r="AS346" s="103"/>
      <c r="AT346" s="103"/>
      <c r="AU346" s="103"/>
      <c r="AV346" s="103"/>
      <c r="AW346" s="104" t="str">
        <f>HYPERLINK("http://www.openstreetmap.org/?mlat=33.234&amp;mlon=43.942&amp;zoom=12#map=12/33.234/43.942","Maplink1")</f>
        <v>Maplink1</v>
      </c>
      <c r="AX346" s="104" t="str">
        <f>HYPERLINK("https://www.google.iq/maps/search/+33.234,43.942/@33.234,43.942,14z?hl=en","Maplink2")</f>
        <v>Maplink2</v>
      </c>
      <c r="AY346" s="104" t="str">
        <f>HYPERLINK("http://www.bing.com/maps/?lvl=14&amp;sty=h&amp;cp=33.234~43.942&amp;sp=point.33.234_43.942","Maplink3")</f>
        <v>Maplink3</v>
      </c>
    </row>
    <row r="347" spans="1:51" x14ac:dyDescent="0.2">
      <c r="A347" s="102">
        <v>29499</v>
      </c>
      <c r="B347" s="103" t="s">
        <v>30</v>
      </c>
      <c r="C347" s="103" t="s">
        <v>85</v>
      </c>
      <c r="D347" s="103" t="s">
        <v>794</v>
      </c>
      <c r="E347" s="103" t="s">
        <v>795</v>
      </c>
      <c r="F347" s="103">
        <v>33.361199999999997</v>
      </c>
      <c r="G347" s="103">
        <v>44.028295745199998</v>
      </c>
      <c r="H347" s="102">
        <v>75</v>
      </c>
      <c r="I347" s="102">
        <v>450</v>
      </c>
      <c r="J347" s="103"/>
      <c r="K347" s="103"/>
      <c r="L347" s="103"/>
      <c r="M347" s="103">
        <v>70</v>
      </c>
      <c r="N347" s="103">
        <v>5</v>
      </c>
      <c r="O347" s="103"/>
      <c r="P347" s="103"/>
      <c r="Q347" s="103"/>
      <c r="R347" s="103"/>
      <c r="S347" s="103"/>
      <c r="T347" s="103"/>
      <c r="U347" s="103"/>
      <c r="V347" s="103"/>
      <c r="W347" s="103">
        <v>56</v>
      </c>
      <c r="X347" s="103"/>
      <c r="Y347" s="103"/>
      <c r="Z347" s="103"/>
      <c r="AA347" s="103">
        <v>19</v>
      </c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>
        <v>50</v>
      </c>
      <c r="AP347" s="103">
        <v>25</v>
      </c>
      <c r="AQ347" s="103"/>
      <c r="AR347" s="103"/>
      <c r="AS347" s="103"/>
      <c r="AT347" s="103"/>
      <c r="AU347" s="103"/>
      <c r="AV347" s="103"/>
      <c r="AW347" s="104" t="str">
        <f>HYPERLINK("http://www.openstreetmap.org/?mlat=33.3612&amp;mlon=44.0283&amp;zoom=12#map=12/33.3612/44.0283","Maplink1")</f>
        <v>Maplink1</v>
      </c>
      <c r="AX347" s="104" t="str">
        <f>HYPERLINK("https://www.google.iq/maps/search/+33.3612,44.0283/@33.3612,44.0283,14z?hl=en","Maplink2")</f>
        <v>Maplink2</v>
      </c>
      <c r="AY347" s="104" t="str">
        <f>HYPERLINK("http://www.bing.com/maps/?lvl=14&amp;sty=h&amp;cp=33.3612~44.0283&amp;sp=point.33.3612_44.0283","Maplink3")</f>
        <v>Maplink3</v>
      </c>
    </row>
    <row r="348" spans="1:51" x14ac:dyDescent="0.2">
      <c r="A348" s="102">
        <v>31876</v>
      </c>
      <c r="B348" s="103" t="s">
        <v>30</v>
      </c>
      <c r="C348" s="103" t="s">
        <v>85</v>
      </c>
      <c r="D348" s="103" t="s">
        <v>796</v>
      </c>
      <c r="E348" s="103" t="s">
        <v>797</v>
      </c>
      <c r="F348" s="103">
        <v>33.157692699999998</v>
      </c>
      <c r="G348" s="103">
        <v>43.972532793299997</v>
      </c>
      <c r="H348" s="102">
        <v>171</v>
      </c>
      <c r="I348" s="102">
        <v>1026</v>
      </c>
      <c r="J348" s="103"/>
      <c r="K348" s="103"/>
      <c r="L348" s="103"/>
      <c r="M348" s="103">
        <v>159</v>
      </c>
      <c r="N348" s="103">
        <v>12</v>
      </c>
      <c r="O348" s="103"/>
      <c r="P348" s="103"/>
      <c r="Q348" s="103"/>
      <c r="R348" s="103"/>
      <c r="S348" s="103"/>
      <c r="T348" s="103"/>
      <c r="U348" s="103"/>
      <c r="V348" s="103"/>
      <c r="W348" s="103">
        <v>167</v>
      </c>
      <c r="X348" s="103"/>
      <c r="Y348" s="103"/>
      <c r="Z348" s="103"/>
      <c r="AA348" s="103">
        <v>2</v>
      </c>
      <c r="AB348" s="103"/>
      <c r="AC348" s="103"/>
      <c r="AD348" s="103"/>
      <c r="AE348" s="103"/>
      <c r="AF348" s="103"/>
      <c r="AG348" s="103"/>
      <c r="AH348" s="103"/>
      <c r="AI348" s="103"/>
      <c r="AJ348" s="103">
        <v>2</v>
      </c>
      <c r="AK348" s="103"/>
      <c r="AL348" s="103"/>
      <c r="AM348" s="103"/>
      <c r="AN348" s="103"/>
      <c r="AO348" s="103">
        <v>84</v>
      </c>
      <c r="AP348" s="103">
        <v>87</v>
      </c>
      <c r="AQ348" s="103"/>
      <c r="AR348" s="103"/>
      <c r="AS348" s="103"/>
      <c r="AT348" s="103"/>
      <c r="AU348" s="103"/>
      <c r="AV348" s="103"/>
      <c r="AW348" s="104" t="str">
        <f>HYPERLINK("http://www.openstreetmap.org/?mlat=33.1577&amp;mlon=43.9725&amp;zoom=12#map=12/33.1577/43.9725","Maplink1")</f>
        <v>Maplink1</v>
      </c>
      <c r="AX348" s="104" t="str">
        <f>HYPERLINK("https://www.google.iq/maps/search/+33.1577,43.9725/@33.1577,43.9725,14z?hl=en","Maplink2")</f>
        <v>Maplink2</v>
      </c>
      <c r="AY348" s="104" t="str">
        <f>HYPERLINK("http://www.bing.com/maps/?lvl=14&amp;sty=h&amp;cp=33.1577~43.9725&amp;sp=point.33.1577_43.9725","Maplink3")</f>
        <v>Maplink3</v>
      </c>
    </row>
    <row r="349" spans="1:51" x14ac:dyDescent="0.2">
      <c r="A349" s="102">
        <v>32095</v>
      </c>
      <c r="B349" s="103" t="s">
        <v>30</v>
      </c>
      <c r="C349" s="103" t="s">
        <v>85</v>
      </c>
      <c r="D349" s="103" t="s">
        <v>798</v>
      </c>
      <c r="E349" s="103" t="s">
        <v>799</v>
      </c>
      <c r="F349" s="103">
        <v>33.264707999999999</v>
      </c>
      <c r="G349" s="103">
        <v>43.974015930900002</v>
      </c>
      <c r="H349" s="102">
        <v>177</v>
      </c>
      <c r="I349" s="102">
        <v>1062</v>
      </c>
      <c r="J349" s="103"/>
      <c r="K349" s="103"/>
      <c r="L349" s="103"/>
      <c r="M349" s="103">
        <v>173</v>
      </c>
      <c r="N349" s="103">
        <v>4</v>
      </c>
      <c r="O349" s="103"/>
      <c r="P349" s="103"/>
      <c r="Q349" s="103"/>
      <c r="R349" s="103"/>
      <c r="S349" s="103"/>
      <c r="T349" s="103"/>
      <c r="U349" s="103"/>
      <c r="V349" s="103"/>
      <c r="W349" s="103">
        <v>174</v>
      </c>
      <c r="X349" s="103"/>
      <c r="Y349" s="103"/>
      <c r="Z349" s="103"/>
      <c r="AA349" s="103">
        <v>3</v>
      </c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>
        <v>58</v>
      </c>
      <c r="AP349" s="103">
        <v>119</v>
      </c>
      <c r="AQ349" s="103"/>
      <c r="AR349" s="103"/>
      <c r="AS349" s="103"/>
      <c r="AT349" s="103"/>
      <c r="AU349" s="103"/>
      <c r="AV349" s="103"/>
      <c r="AW349" s="104" t="str">
        <f>HYPERLINK("http://www.openstreetmap.org/?mlat=33.2647&amp;mlon=43.974&amp;zoom=12#map=12/33.2647/43.974","Maplink1")</f>
        <v>Maplink1</v>
      </c>
      <c r="AX349" s="104" t="str">
        <f>HYPERLINK("https://www.google.iq/maps/search/+33.2647,43.974/@33.2647,43.974,14z?hl=en","Maplink2")</f>
        <v>Maplink2</v>
      </c>
      <c r="AY349" s="104" t="str">
        <f>HYPERLINK("http://www.bing.com/maps/?lvl=14&amp;sty=h&amp;cp=33.2647~43.974&amp;sp=point.33.2647_43.974","Maplink3")</f>
        <v>Maplink3</v>
      </c>
    </row>
    <row r="350" spans="1:51" x14ac:dyDescent="0.2">
      <c r="A350" s="102">
        <v>33303</v>
      </c>
      <c r="B350" s="103" t="s">
        <v>30</v>
      </c>
      <c r="C350" s="103" t="s">
        <v>85</v>
      </c>
      <c r="D350" s="103" t="s">
        <v>804</v>
      </c>
      <c r="E350" s="103" t="s">
        <v>805</v>
      </c>
      <c r="F350" s="103">
        <v>33.241889999999998</v>
      </c>
      <c r="G350" s="103">
        <v>44.031713487099999</v>
      </c>
      <c r="H350" s="102">
        <v>43</v>
      </c>
      <c r="I350" s="102">
        <v>258</v>
      </c>
      <c r="J350" s="103"/>
      <c r="K350" s="103"/>
      <c r="L350" s="103"/>
      <c r="M350" s="103">
        <v>36</v>
      </c>
      <c r="N350" s="103">
        <v>7</v>
      </c>
      <c r="O350" s="103"/>
      <c r="P350" s="103"/>
      <c r="Q350" s="103"/>
      <c r="R350" s="103"/>
      <c r="S350" s="103"/>
      <c r="T350" s="103"/>
      <c r="U350" s="103"/>
      <c r="V350" s="103"/>
      <c r="W350" s="103">
        <v>43</v>
      </c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103"/>
      <c r="AO350" s="103"/>
      <c r="AP350" s="103">
        <v>43</v>
      </c>
      <c r="AQ350" s="103"/>
      <c r="AR350" s="103"/>
      <c r="AS350" s="103"/>
      <c r="AT350" s="103"/>
      <c r="AU350" s="103"/>
      <c r="AV350" s="103"/>
      <c r="AW350" s="104" t="str">
        <f>HYPERLINK("http://www.openstreetmap.org/?mlat=33.2419&amp;mlon=44.0317&amp;zoom=12#map=12/33.2419/44.0317","Maplink1")</f>
        <v>Maplink1</v>
      </c>
      <c r="AX350" s="104" t="str">
        <f>HYPERLINK("https://www.google.iq/maps/search/+33.2419,44.0317/@33.2419,44.0317,14z?hl=en","Maplink2")</f>
        <v>Maplink2</v>
      </c>
      <c r="AY350" s="104" t="str">
        <f>HYPERLINK("http://www.bing.com/maps/?lvl=14&amp;sty=h&amp;cp=33.2419~44.0317&amp;sp=point.33.2419_44.0317","Maplink3")</f>
        <v>Maplink3</v>
      </c>
    </row>
    <row r="351" spans="1:51" x14ac:dyDescent="0.2">
      <c r="A351" s="102">
        <v>33450</v>
      </c>
      <c r="B351" s="103" t="s">
        <v>30</v>
      </c>
      <c r="C351" s="103" t="s">
        <v>85</v>
      </c>
      <c r="D351" s="103" t="s">
        <v>806</v>
      </c>
      <c r="E351" s="103" t="s">
        <v>807</v>
      </c>
      <c r="F351" s="103">
        <v>33.408130999999997</v>
      </c>
      <c r="G351" s="103">
        <v>44.029700388599998</v>
      </c>
      <c r="H351" s="102">
        <v>100</v>
      </c>
      <c r="I351" s="102">
        <v>600</v>
      </c>
      <c r="J351" s="103"/>
      <c r="K351" s="103"/>
      <c r="L351" s="103"/>
      <c r="M351" s="103">
        <v>82</v>
      </c>
      <c r="N351" s="103">
        <v>18</v>
      </c>
      <c r="O351" s="103"/>
      <c r="P351" s="103"/>
      <c r="Q351" s="103"/>
      <c r="R351" s="103"/>
      <c r="S351" s="103"/>
      <c r="T351" s="103"/>
      <c r="U351" s="103"/>
      <c r="V351" s="103"/>
      <c r="W351" s="103">
        <v>100</v>
      </c>
      <c r="X351" s="103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3"/>
      <c r="AM351" s="103"/>
      <c r="AN351" s="103"/>
      <c r="AO351" s="103"/>
      <c r="AP351" s="103">
        <v>100</v>
      </c>
      <c r="AQ351" s="103"/>
      <c r="AR351" s="103"/>
      <c r="AS351" s="103"/>
      <c r="AT351" s="103"/>
      <c r="AU351" s="103"/>
      <c r="AV351" s="103"/>
      <c r="AW351" s="104" t="str">
        <f>HYPERLINK("http://www.openstreetmap.org/?mlat=33.4081&amp;mlon=44.0297&amp;zoom=12#map=12/33.4081/44.0297","Maplink1")</f>
        <v>Maplink1</v>
      </c>
      <c r="AX351" s="104" t="str">
        <f>HYPERLINK("https://www.google.iq/maps/search/+33.4081,44.0297/@33.4081,44.0297,14z?hl=en","Maplink2")</f>
        <v>Maplink2</v>
      </c>
      <c r="AY351" s="104" t="str">
        <f>HYPERLINK("http://www.bing.com/maps/?lvl=14&amp;sty=h&amp;cp=33.4081~44.0297&amp;sp=point.33.4081_44.0297","Maplink3")</f>
        <v>Maplink3</v>
      </c>
    </row>
    <row r="352" spans="1:51" x14ac:dyDescent="0.2">
      <c r="A352" s="102">
        <v>29498</v>
      </c>
      <c r="B352" s="103" t="s">
        <v>30</v>
      </c>
      <c r="C352" s="103" t="s">
        <v>85</v>
      </c>
      <c r="D352" s="103" t="s">
        <v>788</v>
      </c>
      <c r="E352" s="103" t="s">
        <v>789</v>
      </c>
      <c r="F352" s="103">
        <v>33.408180451100002</v>
      </c>
      <c r="G352" s="103">
        <v>44.085806900400001</v>
      </c>
      <c r="H352" s="102">
        <v>25</v>
      </c>
      <c r="I352" s="102">
        <v>150</v>
      </c>
      <c r="J352" s="103"/>
      <c r="K352" s="103"/>
      <c r="L352" s="103"/>
      <c r="M352" s="103">
        <v>25</v>
      </c>
      <c r="N352" s="103"/>
      <c r="O352" s="103"/>
      <c r="P352" s="103"/>
      <c r="Q352" s="103"/>
      <c r="R352" s="103"/>
      <c r="S352" s="103"/>
      <c r="T352" s="103"/>
      <c r="U352" s="103"/>
      <c r="V352" s="103"/>
      <c r="W352" s="103">
        <v>25</v>
      </c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103"/>
      <c r="AO352" s="103"/>
      <c r="AP352" s="103">
        <v>25</v>
      </c>
      <c r="AQ352" s="103"/>
      <c r="AR352" s="103"/>
      <c r="AS352" s="103"/>
      <c r="AT352" s="103"/>
      <c r="AU352" s="103"/>
      <c r="AV352" s="103"/>
      <c r="AW352" s="104" t="str">
        <f>HYPERLINK("http://www.openstreetmap.org/?mlat=33.4082&amp;mlon=44.0858&amp;zoom=12#map=12/33.4082/44.0858","Maplink1")</f>
        <v>Maplink1</v>
      </c>
      <c r="AX352" s="104" t="str">
        <f>HYPERLINK("https://www.google.iq/maps/search/+33.4082,44.0858/@33.4082,44.0858,14z?hl=en","Maplink2")</f>
        <v>Maplink2</v>
      </c>
      <c r="AY352" s="104" t="str">
        <f>HYPERLINK("http://www.bing.com/maps/?lvl=14&amp;sty=h&amp;cp=33.4082~44.0858&amp;sp=point.33.4082_44.0858","Maplink3")</f>
        <v>Maplink3</v>
      </c>
    </row>
    <row r="353" spans="1:51" x14ac:dyDescent="0.2">
      <c r="A353" s="102">
        <v>29533</v>
      </c>
      <c r="B353" s="103" t="s">
        <v>30</v>
      </c>
      <c r="C353" s="103" t="s">
        <v>85</v>
      </c>
      <c r="D353" s="103" t="s">
        <v>790</v>
      </c>
      <c r="E353" s="103" t="s">
        <v>791</v>
      </c>
      <c r="F353" s="103">
        <v>33.207748354099998</v>
      </c>
      <c r="G353" s="103">
        <v>43.971732948700001</v>
      </c>
      <c r="H353" s="102">
        <v>320</v>
      </c>
      <c r="I353" s="102">
        <v>1920</v>
      </c>
      <c r="J353" s="103"/>
      <c r="K353" s="103"/>
      <c r="L353" s="103"/>
      <c r="M353" s="103">
        <v>313</v>
      </c>
      <c r="N353" s="103">
        <v>7</v>
      </c>
      <c r="O353" s="103"/>
      <c r="P353" s="103"/>
      <c r="Q353" s="103"/>
      <c r="R353" s="103"/>
      <c r="S353" s="103"/>
      <c r="T353" s="103"/>
      <c r="U353" s="103"/>
      <c r="V353" s="103"/>
      <c r="W353" s="103">
        <v>270</v>
      </c>
      <c r="X353" s="103"/>
      <c r="Y353" s="103"/>
      <c r="Z353" s="103"/>
      <c r="AA353" s="103">
        <v>50</v>
      </c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103"/>
      <c r="AO353" s="103">
        <v>271</v>
      </c>
      <c r="AP353" s="103">
        <v>49</v>
      </c>
      <c r="AQ353" s="103"/>
      <c r="AR353" s="103"/>
      <c r="AS353" s="103"/>
      <c r="AT353" s="103"/>
      <c r="AU353" s="103"/>
      <c r="AV353" s="103"/>
      <c r="AW353" s="104" t="str">
        <f>HYPERLINK("http://www.openstreetmap.org/?mlat=33.2077&amp;mlon=43.9717&amp;zoom=12#map=12/33.2077/43.9717","Maplink1")</f>
        <v>Maplink1</v>
      </c>
      <c r="AX353" s="104" t="str">
        <f>HYPERLINK("https://www.google.iq/maps/search/+33.2077,43.9717/@33.2077,43.9717,14z?hl=en","Maplink2")</f>
        <v>Maplink2</v>
      </c>
      <c r="AY353" s="104" t="str">
        <f>HYPERLINK("http://www.bing.com/maps/?lvl=14&amp;sty=h&amp;cp=33.2077~43.9717&amp;sp=point.33.2077_43.9717","Maplink3")</f>
        <v>Maplink3</v>
      </c>
    </row>
    <row r="354" spans="1:51" x14ac:dyDescent="0.2">
      <c r="A354" s="102">
        <v>32037</v>
      </c>
      <c r="B354" s="103" t="s">
        <v>30</v>
      </c>
      <c r="C354" s="103" t="s">
        <v>85</v>
      </c>
      <c r="D354" s="103" t="s">
        <v>792</v>
      </c>
      <c r="E354" s="103" t="s">
        <v>793</v>
      </c>
      <c r="F354" s="103">
        <v>33.257370000000002</v>
      </c>
      <c r="G354" s="103">
        <v>44.0120305724</v>
      </c>
      <c r="H354" s="102">
        <v>116</v>
      </c>
      <c r="I354" s="102">
        <v>696</v>
      </c>
      <c r="J354" s="103"/>
      <c r="K354" s="103"/>
      <c r="L354" s="103"/>
      <c r="M354" s="103">
        <v>111</v>
      </c>
      <c r="N354" s="103">
        <v>5</v>
      </c>
      <c r="O354" s="103"/>
      <c r="P354" s="103"/>
      <c r="Q354" s="103"/>
      <c r="R354" s="103"/>
      <c r="S354" s="103"/>
      <c r="T354" s="103"/>
      <c r="U354" s="103"/>
      <c r="V354" s="103"/>
      <c r="W354" s="103">
        <v>116</v>
      </c>
      <c r="X354" s="103"/>
      <c r="Y354" s="103"/>
      <c r="Z354" s="103"/>
      <c r="AA354" s="103"/>
      <c r="AB354" s="103"/>
      <c r="AC354" s="103"/>
      <c r="AD354" s="103"/>
      <c r="AE354" s="103"/>
      <c r="AF354" s="103"/>
      <c r="AG354" s="103"/>
      <c r="AH354" s="103"/>
      <c r="AI354" s="103"/>
      <c r="AJ354" s="103"/>
      <c r="AK354" s="103"/>
      <c r="AL354" s="103"/>
      <c r="AM354" s="103"/>
      <c r="AN354" s="103"/>
      <c r="AO354" s="103"/>
      <c r="AP354" s="103"/>
      <c r="AQ354" s="103"/>
      <c r="AR354" s="103">
        <v>116</v>
      </c>
      <c r="AS354" s="103"/>
      <c r="AT354" s="103"/>
      <c r="AU354" s="103"/>
      <c r="AV354" s="103"/>
      <c r="AW354" s="104" t="str">
        <f>HYPERLINK("http://www.openstreetmap.org/?mlat=33.2574&amp;mlon=44.012&amp;zoom=12#map=12/33.2574/44.012","Maplink1")</f>
        <v>Maplink1</v>
      </c>
      <c r="AX354" s="104" t="str">
        <f>HYPERLINK("https://www.google.iq/maps/search/+33.2574,44.012/@33.2574,44.012,14z?hl=en","Maplink2")</f>
        <v>Maplink2</v>
      </c>
      <c r="AY354" s="104" t="str">
        <f>HYPERLINK("http://www.bing.com/maps/?lvl=14&amp;sty=h&amp;cp=33.2574~44.012&amp;sp=point.33.2574_44.012","Maplink3")</f>
        <v>Maplink3</v>
      </c>
    </row>
    <row r="355" spans="1:51" x14ac:dyDescent="0.2">
      <c r="A355" s="102">
        <v>29495</v>
      </c>
      <c r="B355" s="103" t="s">
        <v>30</v>
      </c>
      <c r="C355" s="103" t="s">
        <v>85</v>
      </c>
      <c r="D355" s="103" t="s">
        <v>800</v>
      </c>
      <c r="E355" s="103" t="s">
        <v>801</v>
      </c>
      <c r="F355" s="103">
        <v>33.413400000000003</v>
      </c>
      <c r="G355" s="103">
        <v>44.062800039099997</v>
      </c>
      <c r="H355" s="102">
        <v>37</v>
      </c>
      <c r="I355" s="102">
        <v>222</v>
      </c>
      <c r="J355" s="103"/>
      <c r="K355" s="103"/>
      <c r="L355" s="103"/>
      <c r="M355" s="103">
        <v>37</v>
      </c>
      <c r="N355" s="103"/>
      <c r="O355" s="103"/>
      <c r="P355" s="103"/>
      <c r="Q355" s="103"/>
      <c r="R355" s="103"/>
      <c r="S355" s="103"/>
      <c r="T355" s="103"/>
      <c r="U355" s="103"/>
      <c r="V355" s="103"/>
      <c r="W355" s="103">
        <v>37</v>
      </c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103"/>
      <c r="AO355" s="103">
        <v>37</v>
      </c>
      <c r="AP355" s="103"/>
      <c r="AQ355" s="103"/>
      <c r="AR355" s="103"/>
      <c r="AS355" s="103"/>
      <c r="AT355" s="103"/>
      <c r="AU355" s="103"/>
      <c r="AV355" s="103"/>
      <c r="AW355" s="104" t="str">
        <f>HYPERLINK("http://www.openstreetmap.org/?mlat=33.4134&amp;mlon=44.0628&amp;zoom=12#map=12/33.4134/44.0628","Maplink1")</f>
        <v>Maplink1</v>
      </c>
      <c r="AX355" s="104" t="str">
        <f>HYPERLINK("https://www.google.iq/maps/search/+33.4134,44.0628/@33.4134,44.0628,14z?hl=en","Maplink2")</f>
        <v>Maplink2</v>
      </c>
      <c r="AY355" s="104" t="str">
        <f>HYPERLINK("http://www.bing.com/maps/?lvl=14&amp;sty=h&amp;cp=33.4134~44.0628&amp;sp=point.33.4134_44.0628","Maplink3")</f>
        <v>Maplink3</v>
      </c>
    </row>
    <row r="356" spans="1:51" x14ac:dyDescent="0.2">
      <c r="A356" s="102">
        <v>33451</v>
      </c>
      <c r="B356" s="103" t="s">
        <v>30</v>
      </c>
      <c r="C356" s="103" t="s">
        <v>85</v>
      </c>
      <c r="D356" s="103" t="s">
        <v>802</v>
      </c>
      <c r="E356" s="103" t="s">
        <v>803</v>
      </c>
      <c r="F356" s="103">
        <v>33.417583999999998</v>
      </c>
      <c r="G356" s="103">
        <v>44.047022221600002</v>
      </c>
      <c r="H356" s="102">
        <v>46</v>
      </c>
      <c r="I356" s="102">
        <v>276</v>
      </c>
      <c r="J356" s="103"/>
      <c r="K356" s="103"/>
      <c r="L356" s="103"/>
      <c r="M356" s="103">
        <v>37</v>
      </c>
      <c r="N356" s="103">
        <v>9</v>
      </c>
      <c r="O356" s="103"/>
      <c r="P356" s="103"/>
      <c r="Q356" s="103"/>
      <c r="R356" s="103"/>
      <c r="S356" s="103"/>
      <c r="T356" s="103"/>
      <c r="U356" s="103"/>
      <c r="V356" s="103"/>
      <c r="W356" s="103">
        <v>46</v>
      </c>
      <c r="X356" s="103"/>
      <c r="Y356" s="103"/>
      <c r="Z356" s="103"/>
      <c r="AA356" s="103"/>
      <c r="AB356" s="103"/>
      <c r="AC356" s="103"/>
      <c r="AD356" s="103"/>
      <c r="AE356" s="103"/>
      <c r="AF356" s="103"/>
      <c r="AG356" s="103"/>
      <c r="AH356" s="103"/>
      <c r="AI356" s="103"/>
      <c r="AJ356" s="103"/>
      <c r="AK356" s="103"/>
      <c r="AL356" s="103"/>
      <c r="AM356" s="103"/>
      <c r="AN356" s="103"/>
      <c r="AO356" s="103"/>
      <c r="AP356" s="103">
        <v>46</v>
      </c>
      <c r="AQ356" s="103"/>
      <c r="AR356" s="103"/>
      <c r="AS356" s="103"/>
      <c r="AT356" s="103"/>
      <c r="AU356" s="103"/>
      <c r="AV356" s="103"/>
      <c r="AW356" s="104" t="str">
        <f>HYPERLINK("http://www.openstreetmap.org/?mlat=33.4176&amp;mlon=44.047&amp;zoom=12#map=12/33.4176/44.047","Maplink1")</f>
        <v>Maplink1</v>
      </c>
      <c r="AX356" s="104" t="str">
        <f>HYPERLINK("https://www.google.iq/maps/search/+33.4176,44.047/@33.4176,44.047,14z?hl=en","Maplink2")</f>
        <v>Maplink2</v>
      </c>
      <c r="AY356" s="104" t="str">
        <f>HYPERLINK("http://www.bing.com/maps/?lvl=14&amp;sty=h&amp;cp=33.4176~44.047&amp;sp=point.33.4176_44.047","Maplink3")</f>
        <v>Maplink3</v>
      </c>
    </row>
    <row r="357" spans="1:51" x14ac:dyDescent="0.2">
      <c r="A357" s="102">
        <v>22541</v>
      </c>
      <c r="B357" s="103" t="s">
        <v>30</v>
      </c>
      <c r="C357" s="103" t="s">
        <v>86</v>
      </c>
      <c r="D357" s="103" t="s">
        <v>824</v>
      </c>
      <c r="E357" s="103" t="s">
        <v>825</v>
      </c>
      <c r="F357" s="103">
        <v>33.4607770605</v>
      </c>
      <c r="G357" s="103">
        <v>44.170443800199997</v>
      </c>
      <c r="H357" s="102">
        <v>180</v>
      </c>
      <c r="I357" s="102">
        <v>1080</v>
      </c>
      <c r="J357" s="103"/>
      <c r="K357" s="103"/>
      <c r="L357" s="103">
        <v>20</v>
      </c>
      <c r="M357" s="103">
        <v>147</v>
      </c>
      <c r="N357" s="103">
        <v>13</v>
      </c>
      <c r="O357" s="103"/>
      <c r="P357" s="103"/>
      <c r="Q357" s="103"/>
      <c r="R357" s="103"/>
      <c r="S357" s="103"/>
      <c r="T357" s="103"/>
      <c r="U357" s="103"/>
      <c r="V357" s="103">
        <v>22</v>
      </c>
      <c r="W357" s="103">
        <v>158</v>
      </c>
      <c r="X357" s="103"/>
      <c r="Y357" s="103"/>
      <c r="Z357" s="103"/>
      <c r="AA357" s="103"/>
      <c r="AB357" s="103"/>
      <c r="AC357" s="103"/>
      <c r="AD357" s="103"/>
      <c r="AE357" s="103"/>
      <c r="AF357" s="103"/>
      <c r="AG357" s="103"/>
      <c r="AH357" s="103"/>
      <c r="AI357" s="103"/>
      <c r="AJ357" s="103"/>
      <c r="AK357" s="103"/>
      <c r="AL357" s="103"/>
      <c r="AM357" s="103"/>
      <c r="AN357" s="103"/>
      <c r="AO357" s="103"/>
      <c r="AP357" s="103">
        <v>180</v>
      </c>
      <c r="AQ357" s="103"/>
      <c r="AR357" s="103"/>
      <c r="AS357" s="103"/>
      <c r="AT357" s="103"/>
      <c r="AU357" s="103"/>
      <c r="AV357" s="103"/>
      <c r="AW357" s="104" t="str">
        <f>HYPERLINK("http://www.openstreetmap.org/?mlat=33.4608&amp;mlon=44.1704&amp;zoom=12#map=12/33.4608/44.1704","Maplink1")</f>
        <v>Maplink1</v>
      </c>
      <c r="AX357" s="104" t="str">
        <f>HYPERLINK("https://www.google.iq/maps/search/+33.4608,44.1704/@33.4608,44.1704,14z?hl=en","Maplink2")</f>
        <v>Maplink2</v>
      </c>
      <c r="AY357" s="104" t="str">
        <f>HYPERLINK("http://www.bing.com/maps/?lvl=14&amp;sty=h&amp;cp=33.4608~44.1704&amp;sp=point.33.4608_44.1704","Maplink3")</f>
        <v>Maplink3</v>
      </c>
    </row>
    <row r="358" spans="1:51" x14ac:dyDescent="0.2">
      <c r="A358" s="102">
        <v>25165</v>
      </c>
      <c r="B358" s="103" t="s">
        <v>30</v>
      </c>
      <c r="C358" s="103" t="s">
        <v>86</v>
      </c>
      <c r="D358" s="103" t="s">
        <v>816</v>
      </c>
      <c r="E358" s="103" t="s">
        <v>817</v>
      </c>
      <c r="F358" s="103">
        <v>33.457148712399999</v>
      </c>
      <c r="G358" s="103">
        <v>44.156698136599999</v>
      </c>
      <c r="H358" s="102">
        <v>58</v>
      </c>
      <c r="I358" s="102">
        <v>348</v>
      </c>
      <c r="J358" s="103"/>
      <c r="K358" s="103"/>
      <c r="L358" s="103"/>
      <c r="M358" s="103">
        <v>58</v>
      </c>
      <c r="N358" s="103"/>
      <c r="O358" s="103"/>
      <c r="P358" s="103"/>
      <c r="Q358" s="103"/>
      <c r="R358" s="103"/>
      <c r="S358" s="103"/>
      <c r="T358" s="103"/>
      <c r="U358" s="103"/>
      <c r="V358" s="103"/>
      <c r="W358" s="103">
        <v>58</v>
      </c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  <c r="AN358" s="103"/>
      <c r="AO358" s="103"/>
      <c r="AP358" s="103">
        <v>58</v>
      </c>
      <c r="AQ358" s="103"/>
      <c r="AR358" s="103"/>
      <c r="AS358" s="103"/>
      <c r="AT358" s="103"/>
      <c r="AU358" s="103"/>
      <c r="AV358" s="103"/>
      <c r="AW358" s="104" t="str">
        <f>HYPERLINK("http://www.openstreetmap.org/?mlat=33.4571&amp;mlon=44.1567&amp;zoom=12#map=12/33.4571/44.1567","Maplink1")</f>
        <v>Maplink1</v>
      </c>
      <c r="AX358" s="104" t="str">
        <f>HYPERLINK("https://www.google.iq/maps/search/+33.4571,44.1567/@33.4571,44.1567,14z?hl=en","Maplink2")</f>
        <v>Maplink2</v>
      </c>
      <c r="AY358" s="104" t="str">
        <f>HYPERLINK("http://www.bing.com/maps/?lvl=14&amp;sty=h&amp;cp=33.4571~44.1567&amp;sp=point.33.4571_44.1567","Maplink3")</f>
        <v>Maplink3</v>
      </c>
    </row>
    <row r="359" spans="1:51" x14ac:dyDescent="0.2">
      <c r="A359" s="102">
        <v>25168</v>
      </c>
      <c r="B359" s="103" t="s">
        <v>30</v>
      </c>
      <c r="C359" s="103" t="s">
        <v>86</v>
      </c>
      <c r="D359" s="103" t="s">
        <v>808</v>
      </c>
      <c r="E359" s="103" t="s">
        <v>809</v>
      </c>
      <c r="F359" s="103">
        <v>33.470139781599997</v>
      </c>
      <c r="G359" s="103">
        <v>44.166117722599999</v>
      </c>
      <c r="H359" s="102">
        <v>311</v>
      </c>
      <c r="I359" s="102">
        <v>1866</v>
      </c>
      <c r="J359" s="103"/>
      <c r="K359" s="103"/>
      <c r="L359" s="103"/>
      <c r="M359" s="103">
        <v>311</v>
      </c>
      <c r="N359" s="103"/>
      <c r="O359" s="103"/>
      <c r="P359" s="103"/>
      <c r="Q359" s="103"/>
      <c r="R359" s="103"/>
      <c r="S359" s="103"/>
      <c r="T359" s="103"/>
      <c r="U359" s="103"/>
      <c r="V359" s="103"/>
      <c r="W359" s="103">
        <v>311</v>
      </c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103"/>
      <c r="AO359" s="103">
        <v>311</v>
      </c>
      <c r="AP359" s="103"/>
      <c r="AQ359" s="103"/>
      <c r="AR359" s="103"/>
      <c r="AS359" s="103"/>
      <c r="AT359" s="103"/>
      <c r="AU359" s="103"/>
      <c r="AV359" s="103"/>
      <c r="AW359" s="104" t="str">
        <f>HYPERLINK("http://www.openstreetmap.org/?mlat=33.4701&amp;mlon=44.1661&amp;zoom=12#map=12/33.4701/44.1661","Maplink1")</f>
        <v>Maplink1</v>
      </c>
      <c r="AX359" s="104" t="str">
        <f>HYPERLINK("https://www.google.iq/maps/search/+33.4701,44.1661/@33.4701,44.1661,14z?hl=en","Maplink2")</f>
        <v>Maplink2</v>
      </c>
      <c r="AY359" s="104" t="str">
        <f>HYPERLINK("http://www.bing.com/maps/?lvl=14&amp;sty=h&amp;cp=33.4701~44.1661&amp;sp=point.33.4701_44.1661","Maplink3")</f>
        <v>Maplink3</v>
      </c>
    </row>
    <row r="360" spans="1:51" x14ac:dyDescent="0.2">
      <c r="A360" s="102">
        <v>23329</v>
      </c>
      <c r="B360" s="103" t="s">
        <v>30</v>
      </c>
      <c r="C360" s="103" t="s">
        <v>86</v>
      </c>
      <c r="D360" s="103" t="s">
        <v>814</v>
      </c>
      <c r="E360" s="103" t="s">
        <v>815</v>
      </c>
      <c r="F360" s="103">
        <v>33.470880999999999</v>
      </c>
      <c r="G360" s="103">
        <v>44.142839617200003</v>
      </c>
      <c r="H360" s="102">
        <v>56</v>
      </c>
      <c r="I360" s="102">
        <v>336</v>
      </c>
      <c r="J360" s="103"/>
      <c r="K360" s="103"/>
      <c r="L360" s="103">
        <v>11</v>
      </c>
      <c r="M360" s="103">
        <v>41</v>
      </c>
      <c r="N360" s="103">
        <v>4</v>
      </c>
      <c r="O360" s="103"/>
      <c r="P360" s="103"/>
      <c r="Q360" s="103"/>
      <c r="R360" s="103"/>
      <c r="S360" s="103"/>
      <c r="T360" s="103"/>
      <c r="U360" s="103"/>
      <c r="V360" s="103"/>
      <c r="W360" s="103">
        <v>56</v>
      </c>
      <c r="X360" s="103"/>
      <c r="Y360" s="103"/>
      <c r="Z360" s="103"/>
      <c r="AA360" s="103"/>
      <c r="AB360" s="103"/>
      <c r="AC360" s="103"/>
      <c r="AD360" s="103"/>
      <c r="AE360" s="103"/>
      <c r="AF360" s="103"/>
      <c r="AG360" s="103"/>
      <c r="AH360" s="103"/>
      <c r="AI360" s="103"/>
      <c r="AJ360" s="103"/>
      <c r="AK360" s="103"/>
      <c r="AL360" s="103"/>
      <c r="AM360" s="103"/>
      <c r="AN360" s="103"/>
      <c r="AO360" s="103"/>
      <c r="AP360" s="103">
        <v>56</v>
      </c>
      <c r="AQ360" s="103"/>
      <c r="AR360" s="103"/>
      <c r="AS360" s="103"/>
      <c r="AT360" s="103"/>
      <c r="AU360" s="103"/>
      <c r="AV360" s="103"/>
      <c r="AW360" s="104" t="str">
        <f>HYPERLINK("http://www.openstreetmap.org/?mlat=33.4709&amp;mlon=44.1428&amp;zoom=12#map=12/33.4709/44.1428","Maplink1")</f>
        <v>Maplink1</v>
      </c>
      <c r="AX360" s="104" t="str">
        <f>HYPERLINK("https://www.google.iq/maps/search/+33.4709,44.1428/@33.4709,44.1428,14z?hl=en","Maplink2")</f>
        <v>Maplink2</v>
      </c>
      <c r="AY360" s="104" t="str">
        <f>HYPERLINK("http://www.bing.com/maps/?lvl=14&amp;sty=h&amp;cp=33.4709~44.1428&amp;sp=point.33.4709_44.1428","Maplink3")</f>
        <v>Maplink3</v>
      </c>
    </row>
    <row r="361" spans="1:51" x14ac:dyDescent="0.2">
      <c r="A361" s="102">
        <v>25161</v>
      </c>
      <c r="B361" s="103" t="s">
        <v>30</v>
      </c>
      <c r="C361" s="103" t="s">
        <v>86</v>
      </c>
      <c r="D361" s="103" t="s">
        <v>820</v>
      </c>
      <c r="E361" s="103" t="s">
        <v>821</v>
      </c>
      <c r="F361" s="103">
        <v>33.461047749999999</v>
      </c>
      <c r="G361" s="103">
        <v>44.1460999747</v>
      </c>
      <c r="H361" s="102">
        <v>20</v>
      </c>
      <c r="I361" s="102">
        <v>120</v>
      </c>
      <c r="J361" s="103"/>
      <c r="K361" s="103"/>
      <c r="L361" s="103"/>
      <c r="M361" s="103">
        <v>20</v>
      </c>
      <c r="N361" s="103"/>
      <c r="O361" s="103"/>
      <c r="P361" s="103"/>
      <c r="Q361" s="103"/>
      <c r="R361" s="103"/>
      <c r="S361" s="103"/>
      <c r="T361" s="103"/>
      <c r="U361" s="103"/>
      <c r="V361" s="103"/>
      <c r="W361" s="103">
        <v>20</v>
      </c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>
        <v>20</v>
      </c>
      <c r="AN361" s="103"/>
      <c r="AO361" s="103"/>
      <c r="AP361" s="103"/>
      <c r="AQ361" s="103"/>
      <c r="AR361" s="103"/>
      <c r="AS361" s="103"/>
      <c r="AT361" s="103"/>
      <c r="AU361" s="103"/>
      <c r="AV361" s="103"/>
      <c r="AW361" s="104" t="str">
        <f>HYPERLINK("http://www.openstreetmap.org/?mlat=33.461&amp;mlon=44.1461&amp;zoom=12#map=12/33.461/44.1461","Maplink1")</f>
        <v>Maplink1</v>
      </c>
      <c r="AX361" s="104" t="str">
        <f>HYPERLINK("https://www.google.iq/maps/search/+33.461,44.1461/@33.461,44.1461,14z?hl=en","Maplink2")</f>
        <v>Maplink2</v>
      </c>
      <c r="AY361" s="104" t="str">
        <f>HYPERLINK("http://www.bing.com/maps/?lvl=14&amp;sty=h&amp;cp=33.461~44.1461&amp;sp=point.33.461_44.1461","Maplink3")</f>
        <v>Maplink3</v>
      </c>
    </row>
    <row r="362" spans="1:51" x14ac:dyDescent="0.2">
      <c r="A362" s="102">
        <v>25160</v>
      </c>
      <c r="B362" s="103" t="s">
        <v>30</v>
      </c>
      <c r="C362" s="103" t="s">
        <v>86</v>
      </c>
      <c r="D362" s="103" t="s">
        <v>826</v>
      </c>
      <c r="E362" s="103" t="s">
        <v>827</v>
      </c>
      <c r="F362" s="103">
        <v>33.491100000000003</v>
      </c>
      <c r="G362" s="103">
        <v>44.150542583499998</v>
      </c>
      <c r="H362" s="102">
        <v>50</v>
      </c>
      <c r="I362" s="102">
        <v>300</v>
      </c>
      <c r="J362" s="103"/>
      <c r="K362" s="103"/>
      <c r="L362" s="103"/>
      <c r="M362" s="103">
        <v>50</v>
      </c>
      <c r="N362" s="103"/>
      <c r="O362" s="103"/>
      <c r="P362" s="103"/>
      <c r="Q362" s="103"/>
      <c r="R362" s="103"/>
      <c r="S362" s="103"/>
      <c r="T362" s="103"/>
      <c r="U362" s="103"/>
      <c r="V362" s="103"/>
      <c r="W362" s="103">
        <v>50</v>
      </c>
      <c r="X362" s="103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3"/>
      <c r="AM362" s="103"/>
      <c r="AN362" s="103"/>
      <c r="AO362" s="103">
        <v>50</v>
      </c>
      <c r="AP362" s="103"/>
      <c r="AQ362" s="103"/>
      <c r="AR362" s="103"/>
      <c r="AS362" s="103"/>
      <c r="AT362" s="103"/>
      <c r="AU362" s="103"/>
      <c r="AV362" s="103"/>
      <c r="AW362" s="104" t="str">
        <f>HYPERLINK("http://www.openstreetmap.org/?mlat=33.4911&amp;mlon=44.1505&amp;zoom=12#map=12/33.4911/44.1505","Maplink1")</f>
        <v>Maplink1</v>
      </c>
      <c r="AX362" s="104" t="str">
        <f>HYPERLINK("https://www.google.iq/maps/search/+33.4911,44.1505/@33.4911,44.1505,14z?hl=en","Maplink2")</f>
        <v>Maplink2</v>
      </c>
      <c r="AY362" s="104" t="str">
        <f>HYPERLINK("http://www.bing.com/maps/?lvl=14&amp;sty=h&amp;cp=33.4911~44.1505&amp;sp=point.33.4911_44.1505","Maplink3")</f>
        <v>Maplink3</v>
      </c>
    </row>
    <row r="363" spans="1:51" x14ac:dyDescent="0.2">
      <c r="A363" s="102">
        <v>25163</v>
      </c>
      <c r="B363" s="103" t="s">
        <v>30</v>
      </c>
      <c r="C363" s="103" t="s">
        <v>86</v>
      </c>
      <c r="D363" s="103" t="s">
        <v>822</v>
      </c>
      <c r="E363" s="103" t="s">
        <v>823</v>
      </c>
      <c r="F363" s="103">
        <v>33.450786260000001</v>
      </c>
      <c r="G363" s="103">
        <v>44.155946076600003</v>
      </c>
      <c r="H363" s="102">
        <v>175</v>
      </c>
      <c r="I363" s="102">
        <v>1050</v>
      </c>
      <c r="J363" s="103"/>
      <c r="K363" s="103"/>
      <c r="L363" s="103">
        <v>21</v>
      </c>
      <c r="M363" s="103">
        <v>147</v>
      </c>
      <c r="N363" s="103">
        <v>7</v>
      </c>
      <c r="O363" s="103"/>
      <c r="P363" s="103"/>
      <c r="Q363" s="103"/>
      <c r="R363" s="103"/>
      <c r="S363" s="103"/>
      <c r="T363" s="103"/>
      <c r="U363" s="103"/>
      <c r="V363" s="103">
        <v>12</v>
      </c>
      <c r="W363" s="103">
        <v>155</v>
      </c>
      <c r="X363" s="103"/>
      <c r="Y363" s="103"/>
      <c r="Z363" s="103"/>
      <c r="AA363" s="103"/>
      <c r="AB363" s="103">
        <v>8</v>
      </c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3"/>
      <c r="AM363" s="103"/>
      <c r="AN363" s="103"/>
      <c r="AO363" s="103">
        <v>175</v>
      </c>
      <c r="AP363" s="103"/>
      <c r="AQ363" s="103"/>
      <c r="AR363" s="103"/>
      <c r="AS363" s="103"/>
      <c r="AT363" s="103"/>
      <c r="AU363" s="103"/>
      <c r="AV363" s="103"/>
      <c r="AW363" s="104" t="str">
        <f>HYPERLINK("http://www.openstreetmap.org/?mlat=33.4508&amp;mlon=44.1559&amp;zoom=12#map=12/33.4508/44.1559","Maplink1")</f>
        <v>Maplink1</v>
      </c>
      <c r="AX363" s="104" t="str">
        <f>HYPERLINK("https://www.google.iq/maps/search/+33.4508,44.1559/@33.4508,44.1559,14z?hl=en","Maplink2")</f>
        <v>Maplink2</v>
      </c>
      <c r="AY363" s="104" t="str">
        <f>HYPERLINK("http://www.bing.com/maps/?lvl=14&amp;sty=h&amp;cp=33.4508~44.1559&amp;sp=point.33.4508_44.1559","Maplink3")</f>
        <v>Maplink3</v>
      </c>
    </row>
    <row r="364" spans="1:51" x14ac:dyDescent="0.2">
      <c r="A364" s="102">
        <v>25167</v>
      </c>
      <c r="B364" s="103" t="s">
        <v>30</v>
      </c>
      <c r="C364" s="103" t="s">
        <v>86</v>
      </c>
      <c r="D364" s="103" t="s">
        <v>818</v>
      </c>
      <c r="E364" s="103" t="s">
        <v>819</v>
      </c>
      <c r="F364" s="103">
        <v>33.459280681300001</v>
      </c>
      <c r="G364" s="103">
        <v>44.168844292700001</v>
      </c>
      <c r="H364" s="102">
        <v>130</v>
      </c>
      <c r="I364" s="102">
        <v>780</v>
      </c>
      <c r="J364" s="103"/>
      <c r="K364" s="103"/>
      <c r="L364" s="103"/>
      <c r="M364" s="103">
        <v>130</v>
      </c>
      <c r="N364" s="103"/>
      <c r="O364" s="103"/>
      <c r="P364" s="103"/>
      <c r="Q364" s="103"/>
      <c r="R364" s="103"/>
      <c r="S364" s="103"/>
      <c r="T364" s="103"/>
      <c r="U364" s="103"/>
      <c r="V364" s="103"/>
      <c r="W364" s="103">
        <v>130</v>
      </c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103"/>
      <c r="AO364" s="103"/>
      <c r="AP364" s="103">
        <v>130</v>
      </c>
      <c r="AQ364" s="103"/>
      <c r="AR364" s="103"/>
      <c r="AS364" s="103"/>
      <c r="AT364" s="103"/>
      <c r="AU364" s="103"/>
      <c r="AV364" s="103"/>
      <c r="AW364" s="104" t="str">
        <f>HYPERLINK("http://www.openstreetmap.org/?mlat=33.4593&amp;mlon=44.1688&amp;zoom=12#map=12/33.4593/44.1688","Maplink1")</f>
        <v>Maplink1</v>
      </c>
      <c r="AX364" s="104" t="str">
        <f>HYPERLINK("https://www.google.iq/maps/search/+33.4593,44.1688/@33.4593,44.1688,14z?hl=en","Maplink2")</f>
        <v>Maplink2</v>
      </c>
      <c r="AY364" s="104" t="str">
        <f>HYPERLINK("http://www.bing.com/maps/?lvl=14&amp;sty=h&amp;cp=33.4593~44.1688&amp;sp=point.33.4593_44.1688","Maplink3")</f>
        <v>Maplink3</v>
      </c>
    </row>
    <row r="365" spans="1:51" x14ac:dyDescent="0.2">
      <c r="A365" s="102">
        <v>22611</v>
      </c>
      <c r="B365" s="103" t="s">
        <v>30</v>
      </c>
      <c r="C365" s="103" t="s">
        <v>86</v>
      </c>
      <c r="D365" s="103" t="s">
        <v>812</v>
      </c>
      <c r="E365" s="103" t="s">
        <v>813</v>
      </c>
      <c r="F365" s="103">
        <v>33.465057499700002</v>
      </c>
      <c r="G365" s="103">
        <v>44.168169714100003</v>
      </c>
      <c r="H365" s="102">
        <v>76</v>
      </c>
      <c r="I365" s="102">
        <v>456</v>
      </c>
      <c r="J365" s="103"/>
      <c r="K365" s="103"/>
      <c r="L365" s="103"/>
      <c r="M365" s="103">
        <v>76</v>
      </c>
      <c r="N365" s="103"/>
      <c r="O365" s="103"/>
      <c r="P365" s="103"/>
      <c r="Q365" s="103"/>
      <c r="R365" s="103"/>
      <c r="S365" s="103"/>
      <c r="T365" s="103"/>
      <c r="U365" s="103"/>
      <c r="V365" s="103"/>
      <c r="W365" s="103">
        <v>76</v>
      </c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103"/>
      <c r="AO365" s="103"/>
      <c r="AP365" s="103">
        <v>76</v>
      </c>
      <c r="AQ365" s="103"/>
      <c r="AR365" s="103"/>
      <c r="AS365" s="103"/>
      <c r="AT365" s="103"/>
      <c r="AU365" s="103"/>
      <c r="AV365" s="103"/>
      <c r="AW365" s="104" t="str">
        <f>HYPERLINK("http://www.openstreetmap.org/?mlat=33.4651&amp;mlon=44.1682&amp;zoom=12#map=12/33.4651/44.1682","Maplink1")</f>
        <v>Maplink1</v>
      </c>
      <c r="AX365" s="104" t="str">
        <f>HYPERLINK("https://www.google.iq/maps/search/+33.4651,44.1682/@33.4651,44.1682,14z?hl=en","Maplink2")</f>
        <v>Maplink2</v>
      </c>
      <c r="AY365" s="104" t="str">
        <f>HYPERLINK("http://www.bing.com/maps/?lvl=14&amp;sty=h&amp;cp=33.4651~44.1682&amp;sp=point.33.4651_44.1682","Maplink3")</f>
        <v>Maplink3</v>
      </c>
    </row>
    <row r="366" spans="1:51" x14ac:dyDescent="0.2">
      <c r="A366" s="102">
        <v>25164</v>
      </c>
      <c r="B366" s="103" t="s">
        <v>30</v>
      </c>
      <c r="C366" s="103" t="s">
        <v>86</v>
      </c>
      <c r="D366" s="103" t="s">
        <v>810</v>
      </c>
      <c r="E366" s="103" t="s">
        <v>811</v>
      </c>
      <c r="F366" s="103">
        <v>33.452562262199997</v>
      </c>
      <c r="G366" s="103">
        <v>44.156767357299998</v>
      </c>
      <c r="H366" s="102">
        <v>238</v>
      </c>
      <c r="I366" s="102">
        <v>1428</v>
      </c>
      <c r="J366" s="103"/>
      <c r="K366" s="103"/>
      <c r="L366" s="103"/>
      <c r="M366" s="103">
        <v>238</v>
      </c>
      <c r="N366" s="103"/>
      <c r="O366" s="103"/>
      <c r="P366" s="103"/>
      <c r="Q366" s="103"/>
      <c r="R366" s="103"/>
      <c r="S366" s="103"/>
      <c r="T366" s="103"/>
      <c r="U366" s="103"/>
      <c r="V366" s="103"/>
      <c r="W366" s="103">
        <v>238</v>
      </c>
      <c r="X366" s="103"/>
      <c r="Y366" s="103"/>
      <c r="Z366" s="103"/>
      <c r="AA366" s="103"/>
      <c r="AB366" s="103"/>
      <c r="AC366" s="103"/>
      <c r="AD366" s="103"/>
      <c r="AE366" s="103"/>
      <c r="AF366" s="103"/>
      <c r="AG366" s="103"/>
      <c r="AH366" s="103"/>
      <c r="AI366" s="103"/>
      <c r="AJ366" s="103"/>
      <c r="AK366" s="103"/>
      <c r="AL366" s="103"/>
      <c r="AM366" s="103"/>
      <c r="AN366" s="103"/>
      <c r="AO366" s="103">
        <v>238</v>
      </c>
      <c r="AP366" s="103"/>
      <c r="AQ366" s="103"/>
      <c r="AR366" s="103"/>
      <c r="AS366" s="103"/>
      <c r="AT366" s="103"/>
      <c r="AU366" s="103"/>
      <c r="AV366" s="103"/>
      <c r="AW366" s="104" t="str">
        <f>HYPERLINK("http://www.openstreetmap.org/?mlat=33.4526&amp;mlon=44.1568&amp;zoom=12#map=12/33.4526/44.1568","Maplink1")</f>
        <v>Maplink1</v>
      </c>
      <c r="AX366" s="104" t="str">
        <f>HYPERLINK("https://www.google.iq/maps/search/+33.4526,44.1568/@33.4526,44.1568,14z?hl=en","Maplink2")</f>
        <v>Maplink2</v>
      </c>
      <c r="AY366" s="104" t="str">
        <f>HYPERLINK("http://www.bing.com/maps/?lvl=14&amp;sty=h&amp;cp=33.4526~44.1568&amp;sp=point.33.4526_44.1568","Maplink3")</f>
        <v>Maplink3</v>
      </c>
    </row>
    <row r="367" spans="1:51" x14ac:dyDescent="0.2">
      <c r="A367" s="102">
        <v>7618</v>
      </c>
      <c r="B367" s="103" t="s">
        <v>30</v>
      </c>
      <c r="C367" s="103" t="s">
        <v>87</v>
      </c>
      <c r="D367" s="103" t="s">
        <v>892</v>
      </c>
      <c r="E367" s="103" t="s">
        <v>893</v>
      </c>
      <c r="F367" s="103">
        <v>33.076259999999998</v>
      </c>
      <c r="G367" s="103">
        <v>44.1777536799</v>
      </c>
      <c r="H367" s="102">
        <v>90</v>
      </c>
      <c r="I367" s="102">
        <v>540</v>
      </c>
      <c r="J367" s="103"/>
      <c r="K367" s="103"/>
      <c r="L367" s="103"/>
      <c r="M367" s="103">
        <v>40</v>
      </c>
      <c r="N367" s="103">
        <v>50</v>
      </c>
      <c r="O367" s="103"/>
      <c r="P367" s="103"/>
      <c r="Q367" s="103"/>
      <c r="R367" s="103"/>
      <c r="S367" s="103"/>
      <c r="T367" s="103"/>
      <c r="U367" s="103"/>
      <c r="V367" s="103"/>
      <c r="W367" s="103">
        <v>90</v>
      </c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>
        <v>90</v>
      </c>
      <c r="AN367" s="103"/>
      <c r="AO367" s="103"/>
      <c r="AP367" s="103"/>
      <c r="AQ367" s="103"/>
      <c r="AR367" s="103"/>
      <c r="AS367" s="103"/>
      <c r="AT367" s="103"/>
      <c r="AU367" s="103"/>
      <c r="AV367" s="103"/>
      <c r="AW367" s="104" t="str">
        <f>HYPERLINK("http://www.openstreetmap.org/?mlat=33.0763&amp;mlon=44.1778&amp;zoom=12#map=12/33.0763/44.1778","Maplink1")</f>
        <v>Maplink1</v>
      </c>
      <c r="AX367" s="104" t="str">
        <f>HYPERLINK("https://www.google.iq/maps/search/+33.0763,44.1778/@33.0763,44.1778,14z?hl=en","Maplink2")</f>
        <v>Maplink2</v>
      </c>
      <c r="AY367" s="104" t="str">
        <f>HYPERLINK("http://www.bing.com/maps/?lvl=14&amp;sty=h&amp;cp=33.0763~44.1778&amp;sp=point.33.0763_44.1778","Maplink3")</f>
        <v>Maplink3</v>
      </c>
    </row>
    <row r="368" spans="1:51" x14ac:dyDescent="0.2">
      <c r="A368" s="102">
        <v>29491</v>
      </c>
      <c r="B368" s="103" t="s">
        <v>30</v>
      </c>
      <c r="C368" s="103" t="s">
        <v>87</v>
      </c>
      <c r="D368" s="103" t="s">
        <v>894</v>
      </c>
      <c r="E368" s="103" t="s">
        <v>895</v>
      </c>
      <c r="F368" s="103">
        <v>33.045471589999998</v>
      </c>
      <c r="G368" s="103">
        <v>44.198623857699999</v>
      </c>
      <c r="H368" s="102">
        <v>320</v>
      </c>
      <c r="I368" s="102">
        <v>1920</v>
      </c>
      <c r="J368" s="103"/>
      <c r="K368" s="103"/>
      <c r="L368" s="103"/>
      <c r="M368" s="103">
        <v>303</v>
      </c>
      <c r="N368" s="103">
        <v>17</v>
      </c>
      <c r="O368" s="103"/>
      <c r="P368" s="103"/>
      <c r="Q368" s="103"/>
      <c r="R368" s="103"/>
      <c r="S368" s="103"/>
      <c r="T368" s="103"/>
      <c r="U368" s="103"/>
      <c r="V368" s="103">
        <v>20</v>
      </c>
      <c r="W368" s="103">
        <v>200</v>
      </c>
      <c r="X368" s="103"/>
      <c r="Y368" s="103"/>
      <c r="Z368" s="103"/>
      <c r="AA368" s="103">
        <v>24</v>
      </c>
      <c r="AB368" s="103"/>
      <c r="AC368" s="103"/>
      <c r="AD368" s="103"/>
      <c r="AE368" s="103"/>
      <c r="AF368" s="103"/>
      <c r="AG368" s="103"/>
      <c r="AH368" s="103"/>
      <c r="AI368" s="103"/>
      <c r="AJ368" s="103">
        <v>76</v>
      </c>
      <c r="AK368" s="103"/>
      <c r="AL368" s="103"/>
      <c r="AM368" s="103"/>
      <c r="AN368" s="103"/>
      <c r="AO368" s="103"/>
      <c r="AP368" s="103">
        <v>320</v>
      </c>
      <c r="AQ368" s="103"/>
      <c r="AR368" s="103"/>
      <c r="AS368" s="103"/>
      <c r="AT368" s="103"/>
      <c r="AU368" s="103"/>
      <c r="AV368" s="103"/>
      <c r="AW368" s="104" t="str">
        <f>HYPERLINK("http://www.openstreetmap.org/?mlat=33.0455&amp;mlon=44.1986&amp;zoom=12#map=12/33.0455/44.1986","Maplink1")</f>
        <v>Maplink1</v>
      </c>
      <c r="AX368" s="104" t="str">
        <f>HYPERLINK("https://www.google.iq/maps/search/+33.0455,44.1986/@33.0455,44.1986,14z?hl=en","Maplink2")</f>
        <v>Maplink2</v>
      </c>
      <c r="AY368" s="104" t="str">
        <f>HYPERLINK("http://www.bing.com/maps/?lvl=14&amp;sty=h&amp;cp=33.0455~44.1986&amp;sp=point.33.0455_44.1986","Maplink3")</f>
        <v>Maplink3</v>
      </c>
    </row>
    <row r="369" spans="1:51" x14ac:dyDescent="0.2">
      <c r="A369" s="102">
        <v>32101</v>
      </c>
      <c r="B369" s="103" t="s">
        <v>30</v>
      </c>
      <c r="C369" s="103" t="s">
        <v>87</v>
      </c>
      <c r="D369" s="103" t="s">
        <v>896</v>
      </c>
      <c r="E369" s="103" t="s">
        <v>897</v>
      </c>
      <c r="F369" s="103">
        <v>33.039284000000002</v>
      </c>
      <c r="G369" s="103">
        <v>44.141463496500002</v>
      </c>
      <c r="H369" s="102">
        <v>190</v>
      </c>
      <c r="I369" s="102">
        <v>1140</v>
      </c>
      <c r="J369" s="103"/>
      <c r="K369" s="103"/>
      <c r="L369" s="103"/>
      <c r="M369" s="103">
        <v>180</v>
      </c>
      <c r="N369" s="103">
        <v>10</v>
      </c>
      <c r="O369" s="103"/>
      <c r="P369" s="103"/>
      <c r="Q369" s="103"/>
      <c r="R369" s="103"/>
      <c r="S369" s="103"/>
      <c r="T369" s="103"/>
      <c r="U369" s="103"/>
      <c r="V369" s="103"/>
      <c r="W369" s="103">
        <v>154</v>
      </c>
      <c r="X369" s="103"/>
      <c r="Y369" s="103"/>
      <c r="Z369" s="103"/>
      <c r="AA369" s="103">
        <v>36</v>
      </c>
      <c r="AB369" s="103"/>
      <c r="AC369" s="103"/>
      <c r="AD369" s="103"/>
      <c r="AE369" s="103"/>
      <c r="AF369" s="103"/>
      <c r="AG369" s="103"/>
      <c r="AH369" s="103"/>
      <c r="AI369" s="103"/>
      <c r="AJ369" s="103"/>
      <c r="AK369" s="103"/>
      <c r="AL369" s="103"/>
      <c r="AM369" s="103"/>
      <c r="AN369" s="103"/>
      <c r="AO369" s="103"/>
      <c r="AP369" s="103">
        <v>190</v>
      </c>
      <c r="AQ369" s="103"/>
      <c r="AR369" s="103"/>
      <c r="AS369" s="103"/>
      <c r="AT369" s="103"/>
      <c r="AU369" s="103"/>
      <c r="AV369" s="103"/>
      <c r="AW369" s="104" t="str">
        <f>HYPERLINK("http://www.openstreetmap.org/?mlat=33.0393&amp;mlon=44.1415&amp;zoom=12#map=12/33.0393/44.1415","Maplink1")</f>
        <v>Maplink1</v>
      </c>
      <c r="AX369" s="104" t="str">
        <f>HYPERLINK("https://www.google.iq/maps/search/+33.0393,44.1415/@33.0393,44.1415,14z?hl=en","Maplink2")</f>
        <v>Maplink2</v>
      </c>
      <c r="AY369" s="104" t="str">
        <f>HYPERLINK("http://www.bing.com/maps/?lvl=14&amp;sty=h&amp;cp=33.0393~44.1415&amp;sp=point.33.0393_44.1415","Maplink3")</f>
        <v>Maplink3</v>
      </c>
    </row>
    <row r="370" spans="1:51" x14ac:dyDescent="0.2">
      <c r="A370" s="102">
        <v>29525</v>
      </c>
      <c r="B370" s="103" t="s">
        <v>30</v>
      </c>
      <c r="C370" s="103" t="s">
        <v>87</v>
      </c>
      <c r="D370" s="103" t="s">
        <v>902</v>
      </c>
      <c r="E370" s="103" t="s">
        <v>903</v>
      </c>
      <c r="F370" s="103">
        <v>33.0397537578</v>
      </c>
      <c r="G370" s="103">
        <v>44.188857722100003</v>
      </c>
      <c r="H370" s="102">
        <v>49</v>
      </c>
      <c r="I370" s="102">
        <v>294</v>
      </c>
      <c r="J370" s="103"/>
      <c r="K370" s="103"/>
      <c r="L370" s="103"/>
      <c r="M370" s="103">
        <v>45</v>
      </c>
      <c r="N370" s="103">
        <v>4</v>
      </c>
      <c r="O370" s="103"/>
      <c r="P370" s="103"/>
      <c r="Q370" s="103"/>
      <c r="R370" s="103"/>
      <c r="S370" s="103"/>
      <c r="T370" s="103"/>
      <c r="U370" s="103"/>
      <c r="V370" s="103"/>
      <c r="W370" s="103">
        <v>49</v>
      </c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  <c r="AN370" s="103"/>
      <c r="AO370" s="103"/>
      <c r="AP370" s="103">
        <v>49</v>
      </c>
      <c r="AQ370" s="103"/>
      <c r="AR370" s="103"/>
      <c r="AS370" s="103"/>
      <c r="AT370" s="103"/>
      <c r="AU370" s="103"/>
      <c r="AV370" s="103"/>
      <c r="AW370" s="104" t="str">
        <f>HYPERLINK("http://www.openstreetmap.org/?mlat=33.0398&amp;mlon=44.1889&amp;zoom=12#map=12/33.0398/44.1889","Maplink1")</f>
        <v>Maplink1</v>
      </c>
      <c r="AX370" s="104" t="str">
        <f>HYPERLINK("https://www.google.iq/maps/search/+33.0398,44.1889/@33.0398,44.1889,14z?hl=en","Maplink2")</f>
        <v>Maplink2</v>
      </c>
      <c r="AY370" s="104" t="str">
        <f>HYPERLINK("http://www.bing.com/maps/?lvl=14&amp;sty=h&amp;cp=33.0398~44.1889&amp;sp=point.33.0398_44.1889","Maplink3")</f>
        <v>Maplink3</v>
      </c>
    </row>
    <row r="371" spans="1:51" x14ac:dyDescent="0.2">
      <c r="A371" s="102">
        <v>31992</v>
      </c>
      <c r="B371" s="103" t="s">
        <v>30</v>
      </c>
      <c r="C371" s="103" t="s">
        <v>87</v>
      </c>
      <c r="D371" s="103" t="s">
        <v>904</v>
      </c>
      <c r="E371" s="103" t="s">
        <v>905</v>
      </c>
      <c r="F371" s="103">
        <v>33.020429</v>
      </c>
      <c r="G371" s="103">
        <v>44.3774937568</v>
      </c>
      <c r="H371" s="102">
        <v>31</v>
      </c>
      <c r="I371" s="102">
        <v>186</v>
      </c>
      <c r="J371" s="103"/>
      <c r="K371" s="103"/>
      <c r="L371" s="103"/>
      <c r="M371" s="103">
        <v>27</v>
      </c>
      <c r="N371" s="103">
        <v>4</v>
      </c>
      <c r="O371" s="103"/>
      <c r="P371" s="103"/>
      <c r="Q371" s="103"/>
      <c r="R371" s="103"/>
      <c r="S371" s="103"/>
      <c r="T371" s="103"/>
      <c r="U371" s="103"/>
      <c r="V371" s="103"/>
      <c r="W371" s="103">
        <v>27</v>
      </c>
      <c r="X371" s="103"/>
      <c r="Y371" s="103"/>
      <c r="Z371" s="103"/>
      <c r="AA371" s="103">
        <v>4</v>
      </c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103"/>
      <c r="AO371" s="103">
        <v>31</v>
      </c>
      <c r="AP371" s="103"/>
      <c r="AQ371" s="103"/>
      <c r="AR371" s="103"/>
      <c r="AS371" s="103"/>
      <c r="AT371" s="103"/>
      <c r="AU371" s="103"/>
      <c r="AV371" s="103"/>
      <c r="AW371" s="104" t="str">
        <f>HYPERLINK("http://www.openstreetmap.org/?mlat=33.0204&amp;mlon=44.3775&amp;zoom=12#map=12/33.0204/44.3775","Maplink1")</f>
        <v>Maplink1</v>
      </c>
      <c r="AX371" s="104" t="str">
        <f>HYPERLINK("https://www.google.iq/maps/search/+33.0204,44.3775/@33.0204,44.3775,14z?hl=en","Maplink2")</f>
        <v>Maplink2</v>
      </c>
      <c r="AY371" s="104" t="str">
        <f>HYPERLINK("http://www.bing.com/maps/?lvl=14&amp;sty=h&amp;cp=33.0204~44.3775&amp;sp=point.33.0204_44.3775","Maplink3")</f>
        <v>Maplink3</v>
      </c>
    </row>
    <row r="372" spans="1:51" x14ac:dyDescent="0.2">
      <c r="A372" s="102">
        <v>29585</v>
      </c>
      <c r="B372" s="103" t="s">
        <v>30</v>
      </c>
      <c r="C372" s="103" t="s">
        <v>87</v>
      </c>
      <c r="D372" s="103" t="s">
        <v>898</v>
      </c>
      <c r="E372" s="103" t="s">
        <v>899</v>
      </c>
      <c r="F372" s="103">
        <v>33.0453218038</v>
      </c>
      <c r="G372" s="103">
        <v>44.198164220199999</v>
      </c>
      <c r="H372" s="102">
        <v>80</v>
      </c>
      <c r="I372" s="102">
        <v>480</v>
      </c>
      <c r="J372" s="103"/>
      <c r="K372" s="103"/>
      <c r="L372" s="103"/>
      <c r="M372" s="103">
        <v>70</v>
      </c>
      <c r="N372" s="103">
        <v>10</v>
      </c>
      <c r="O372" s="103"/>
      <c r="P372" s="103"/>
      <c r="Q372" s="103"/>
      <c r="R372" s="103"/>
      <c r="S372" s="103"/>
      <c r="T372" s="103"/>
      <c r="U372" s="103"/>
      <c r="V372" s="103">
        <v>20</v>
      </c>
      <c r="W372" s="103">
        <v>20</v>
      </c>
      <c r="X372" s="103"/>
      <c r="Y372" s="103"/>
      <c r="Z372" s="103"/>
      <c r="AA372" s="103">
        <v>20</v>
      </c>
      <c r="AB372" s="103"/>
      <c r="AC372" s="103"/>
      <c r="AD372" s="103">
        <v>20</v>
      </c>
      <c r="AE372" s="103"/>
      <c r="AF372" s="103"/>
      <c r="AG372" s="103"/>
      <c r="AH372" s="103"/>
      <c r="AI372" s="103"/>
      <c r="AJ372" s="103"/>
      <c r="AK372" s="103"/>
      <c r="AL372" s="103"/>
      <c r="AM372" s="103"/>
      <c r="AN372" s="103"/>
      <c r="AO372" s="103">
        <v>80</v>
      </c>
      <c r="AP372" s="103"/>
      <c r="AQ372" s="103"/>
      <c r="AR372" s="103"/>
      <c r="AS372" s="103"/>
      <c r="AT372" s="103"/>
      <c r="AU372" s="103"/>
      <c r="AV372" s="103"/>
      <c r="AW372" s="104" t="str">
        <f>HYPERLINK("http://www.openstreetmap.org/?mlat=33.0453&amp;mlon=44.1982&amp;zoom=12#map=12/33.0453/44.1982","Maplink1")</f>
        <v>Maplink1</v>
      </c>
      <c r="AX372" s="104" t="str">
        <f>HYPERLINK("https://www.google.iq/maps/search/+33.0453,44.1982/@33.0453,44.1982,14z?hl=en","Maplink2")</f>
        <v>Maplink2</v>
      </c>
      <c r="AY372" s="104" t="str">
        <f>HYPERLINK("http://www.bing.com/maps/?lvl=14&amp;sty=h&amp;cp=33.0453~44.1982&amp;sp=point.33.0453_44.1982","Maplink3")</f>
        <v>Maplink3</v>
      </c>
    </row>
    <row r="373" spans="1:51" x14ac:dyDescent="0.2">
      <c r="A373" s="102">
        <v>33105</v>
      </c>
      <c r="B373" s="103" t="s">
        <v>30</v>
      </c>
      <c r="C373" s="103" t="s">
        <v>87</v>
      </c>
      <c r="D373" s="103" t="s">
        <v>900</v>
      </c>
      <c r="E373" s="103" t="s">
        <v>901</v>
      </c>
      <c r="F373" s="103">
        <v>33.028697000000001</v>
      </c>
      <c r="G373" s="103">
        <v>44.139601576099999</v>
      </c>
      <c r="H373" s="102">
        <v>295</v>
      </c>
      <c r="I373" s="102">
        <v>1770</v>
      </c>
      <c r="J373" s="103"/>
      <c r="K373" s="103"/>
      <c r="L373" s="103"/>
      <c r="M373" s="103">
        <v>285</v>
      </c>
      <c r="N373" s="103">
        <v>10</v>
      </c>
      <c r="O373" s="103"/>
      <c r="P373" s="103"/>
      <c r="Q373" s="103"/>
      <c r="R373" s="103"/>
      <c r="S373" s="103"/>
      <c r="T373" s="103"/>
      <c r="U373" s="103"/>
      <c r="V373" s="103">
        <v>50</v>
      </c>
      <c r="W373" s="103">
        <v>245</v>
      </c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  <c r="AN373" s="103"/>
      <c r="AO373" s="103"/>
      <c r="AP373" s="103">
        <v>295</v>
      </c>
      <c r="AQ373" s="103"/>
      <c r="AR373" s="103"/>
      <c r="AS373" s="103"/>
      <c r="AT373" s="103"/>
      <c r="AU373" s="103"/>
      <c r="AV373" s="103"/>
      <c r="AW373" s="104" t="str">
        <f>HYPERLINK("http://www.openstreetmap.org/?mlat=33.0287&amp;mlon=44.1396&amp;zoom=12#map=12/33.0287/44.1396","Maplink1")</f>
        <v>Maplink1</v>
      </c>
      <c r="AX373" s="104" t="str">
        <f>HYPERLINK("https://www.google.iq/maps/search/+33.0287,44.1396/@33.0287,44.1396,14z?hl=en","Maplink2")</f>
        <v>Maplink2</v>
      </c>
      <c r="AY373" s="104" t="str">
        <f>HYPERLINK("http://www.bing.com/maps/?lvl=14&amp;sty=h&amp;cp=33.0287~44.1396&amp;sp=point.33.0287_44.1396","Maplink3")</f>
        <v>Maplink3</v>
      </c>
    </row>
    <row r="374" spans="1:51" x14ac:dyDescent="0.2">
      <c r="A374" s="102">
        <v>29527</v>
      </c>
      <c r="B374" s="103" t="s">
        <v>30</v>
      </c>
      <c r="C374" s="103" t="s">
        <v>87</v>
      </c>
      <c r="D374" s="103" t="s">
        <v>842</v>
      </c>
      <c r="E374" s="103" t="s">
        <v>843</v>
      </c>
      <c r="F374" s="103">
        <v>33.042396330000003</v>
      </c>
      <c r="G374" s="103">
        <v>44.188848227500003</v>
      </c>
      <c r="H374" s="102">
        <v>25</v>
      </c>
      <c r="I374" s="102">
        <v>150</v>
      </c>
      <c r="J374" s="103"/>
      <c r="K374" s="103"/>
      <c r="L374" s="103"/>
      <c r="M374" s="103">
        <v>23</v>
      </c>
      <c r="N374" s="103">
        <v>2</v>
      </c>
      <c r="O374" s="103"/>
      <c r="P374" s="103"/>
      <c r="Q374" s="103"/>
      <c r="R374" s="103"/>
      <c r="S374" s="103"/>
      <c r="T374" s="103"/>
      <c r="U374" s="103"/>
      <c r="V374" s="103"/>
      <c r="W374" s="103">
        <v>25</v>
      </c>
      <c r="X374" s="103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3"/>
      <c r="AK374" s="103"/>
      <c r="AL374" s="103"/>
      <c r="AM374" s="103"/>
      <c r="AN374" s="103"/>
      <c r="AO374" s="103"/>
      <c r="AP374" s="103">
        <v>25</v>
      </c>
      <c r="AQ374" s="103"/>
      <c r="AR374" s="103"/>
      <c r="AS374" s="103"/>
      <c r="AT374" s="103"/>
      <c r="AU374" s="103"/>
      <c r="AV374" s="103"/>
      <c r="AW374" s="104" t="str">
        <f>HYPERLINK("http://www.openstreetmap.org/?mlat=33.0424&amp;mlon=44.1888&amp;zoom=12#map=12/33.0424/44.1888","Maplink1")</f>
        <v>Maplink1</v>
      </c>
      <c r="AX374" s="104" t="str">
        <f>HYPERLINK("https://www.google.iq/maps/search/+33.0424,44.1888/@33.0424,44.1888,14z?hl=en","Maplink2")</f>
        <v>Maplink2</v>
      </c>
      <c r="AY374" s="104" t="str">
        <f>HYPERLINK("http://www.bing.com/maps/?lvl=14&amp;sty=h&amp;cp=33.0424~44.1888&amp;sp=point.33.0424_44.1888","Maplink3")</f>
        <v>Maplink3</v>
      </c>
    </row>
    <row r="375" spans="1:51" x14ac:dyDescent="0.2">
      <c r="A375" s="102">
        <v>29523</v>
      </c>
      <c r="B375" s="103" t="s">
        <v>30</v>
      </c>
      <c r="C375" s="103" t="s">
        <v>87</v>
      </c>
      <c r="D375" s="103" t="s">
        <v>844</v>
      </c>
      <c r="E375" s="103" t="s">
        <v>845</v>
      </c>
      <c r="F375" s="103">
        <v>33.066633453000001</v>
      </c>
      <c r="G375" s="103">
        <v>44.233484474199997</v>
      </c>
      <c r="H375" s="102">
        <v>1050</v>
      </c>
      <c r="I375" s="102">
        <v>6300</v>
      </c>
      <c r="J375" s="103"/>
      <c r="K375" s="103"/>
      <c r="L375" s="103"/>
      <c r="M375" s="103">
        <v>1040</v>
      </c>
      <c r="N375" s="103">
        <v>10</v>
      </c>
      <c r="O375" s="103"/>
      <c r="P375" s="103"/>
      <c r="Q375" s="103"/>
      <c r="R375" s="103"/>
      <c r="S375" s="103"/>
      <c r="T375" s="103"/>
      <c r="U375" s="103"/>
      <c r="V375" s="103">
        <v>51</v>
      </c>
      <c r="W375" s="103">
        <v>900</v>
      </c>
      <c r="X375" s="103"/>
      <c r="Y375" s="103"/>
      <c r="Z375" s="103"/>
      <c r="AA375" s="103">
        <v>99</v>
      </c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103"/>
      <c r="AM375" s="103"/>
      <c r="AN375" s="103"/>
      <c r="AO375" s="103"/>
      <c r="AP375" s="103">
        <v>1050</v>
      </c>
      <c r="AQ375" s="103"/>
      <c r="AR375" s="103"/>
      <c r="AS375" s="103"/>
      <c r="AT375" s="103"/>
      <c r="AU375" s="103"/>
      <c r="AV375" s="103"/>
      <c r="AW375" s="104" t="str">
        <f>HYPERLINK("http://www.openstreetmap.org/?mlat=33.0666&amp;mlon=44.2335&amp;zoom=12#map=12/33.0666/44.2335","Maplink1")</f>
        <v>Maplink1</v>
      </c>
      <c r="AX375" s="104" t="str">
        <f>HYPERLINK("https://www.google.iq/maps/search/+33.0666,44.2335/@33.0666,44.2335,14z?hl=en","Maplink2")</f>
        <v>Maplink2</v>
      </c>
      <c r="AY375" s="104" t="str">
        <f>HYPERLINK("http://www.bing.com/maps/?lvl=14&amp;sty=h&amp;cp=33.0666~44.2335&amp;sp=point.33.0666_44.2335","Maplink3")</f>
        <v>Maplink3</v>
      </c>
    </row>
    <row r="376" spans="1:51" x14ac:dyDescent="0.2">
      <c r="A376" s="102">
        <v>33261</v>
      </c>
      <c r="B376" s="103" t="s">
        <v>30</v>
      </c>
      <c r="C376" s="103" t="s">
        <v>87</v>
      </c>
      <c r="D376" s="103" t="s">
        <v>846</v>
      </c>
      <c r="E376" s="103" t="s">
        <v>847</v>
      </c>
      <c r="F376" s="103">
        <v>33.034618999999999</v>
      </c>
      <c r="G376" s="103">
        <v>44.303999440799998</v>
      </c>
      <c r="H376" s="102">
        <v>100</v>
      </c>
      <c r="I376" s="102">
        <v>600</v>
      </c>
      <c r="J376" s="103">
        <v>13</v>
      </c>
      <c r="K376" s="103"/>
      <c r="L376" s="103"/>
      <c r="M376" s="103">
        <v>60</v>
      </c>
      <c r="N376" s="103">
        <v>27</v>
      </c>
      <c r="O376" s="103"/>
      <c r="P376" s="103"/>
      <c r="Q376" s="103"/>
      <c r="R376" s="103"/>
      <c r="S376" s="103"/>
      <c r="T376" s="103"/>
      <c r="U376" s="103"/>
      <c r="V376" s="103">
        <v>16</v>
      </c>
      <c r="W376" s="103">
        <v>74</v>
      </c>
      <c r="X376" s="103"/>
      <c r="Y376" s="103"/>
      <c r="Z376" s="103"/>
      <c r="AA376" s="103">
        <v>5</v>
      </c>
      <c r="AB376" s="103"/>
      <c r="AC376" s="103"/>
      <c r="AD376" s="103"/>
      <c r="AE376" s="103"/>
      <c r="AF376" s="103"/>
      <c r="AG376" s="103"/>
      <c r="AH376" s="103"/>
      <c r="AI376" s="103"/>
      <c r="AJ376" s="103">
        <v>5</v>
      </c>
      <c r="AK376" s="103"/>
      <c r="AL376" s="103"/>
      <c r="AM376" s="103"/>
      <c r="AN376" s="103"/>
      <c r="AO376" s="103"/>
      <c r="AP376" s="103">
        <v>100</v>
      </c>
      <c r="AQ376" s="103"/>
      <c r="AR376" s="103"/>
      <c r="AS376" s="103"/>
      <c r="AT376" s="103"/>
      <c r="AU376" s="103"/>
      <c r="AV376" s="103"/>
      <c r="AW376" s="104" t="str">
        <f>HYPERLINK("http://www.openstreetmap.org/?mlat=33.0346&amp;mlon=44.304&amp;zoom=12#map=12/33.0346/44.304","Maplink1")</f>
        <v>Maplink1</v>
      </c>
      <c r="AX376" s="104" t="str">
        <f>HYPERLINK("https://www.google.iq/maps/search/+33.0346,44.304/@33.0346,44.304,14z?hl=en","Maplink2")</f>
        <v>Maplink2</v>
      </c>
      <c r="AY376" s="104" t="str">
        <f>HYPERLINK("http://www.bing.com/maps/?lvl=14&amp;sty=h&amp;cp=33.0346~44.304&amp;sp=point.33.0346_44.304","Maplink3")</f>
        <v>Maplink3</v>
      </c>
    </row>
    <row r="377" spans="1:51" x14ac:dyDescent="0.2">
      <c r="A377" s="102">
        <v>7682</v>
      </c>
      <c r="B377" s="103" t="s">
        <v>30</v>
      </c>
      <c r="C377" s="103" t="s">
        <v>87</v>
      </c>
      <c r="D377" s="103" t="s">
        <v>832</v>
      </c>
      <c r="E377" s="103" t="s">
        <v>833</v>
      </c>
      <c r="F377" s="103">
        <v>33.038573999999997</v>
      </c>
      <c r="G377" s="103">
        <v>44.329822863499999</v>
      </c>
      <c r="H377" s="102">
        <v>615</v>
      </c>
      <c r="I377" s="102">
        <v>3690</v>
      </c>
      <c r="J377" s="103">
        <v>15</v>
      </c>
      <c r="K377" s="103"/>
      <c r="L377" s="103"/>
      <c r="M377" s="103">
        <v>570</v>
      </c>
      <c r="N377" s="103">
        <v>30</v>
      </c>
      <c r="O377" s="103"/>
      <c r="P377" s="103"/>
      <c r="Q377" s="103"/>
      <c r="R377" s="103"/>
      <c r="S377" s="103"/>
      <c r="T377" s="103"/>
      <c r="U377" s="103"/>
      <c r="V377" s="103">
        <v>75</v>
      </c>
      <c r="W377" s="103">
        <v>538</v>
      </c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>
        <v>2</v>
      </c>
      <c r="AK377" s="103"/>
      <c r="AL377" s="103"/>
      <c r="AM377" s="103"/>
      <c r="AN377" s="103"/>
      <c r="AO377" s="103">
        <v>291</v>
      </c>
      <c r="AP377" s="103">
        <v>324</v>
      </c>
      <c r="AQ377" s="103"/>
      <c r="AR377" s="103"/>
      <c r="AS377" s="103"/>
      <c r="AT377" s="103"/>
      <c r="AU377" s="103"/>
      <c r="AV377" s="103"/>
      <c r="AW377" s="104" t="str">
        <f>HYPERLINK("http://www.openstreetmap.org/?mlat=33.0386&amp;mlon=44.3298&amp;zoom=12#map=12/33.0386/44.3298","Maplink1")</f>
        <v>Maplink1</v>
      </c>
      <c r="AX377" s="104" t="str">
        <f>HYPERLINK("https://www.google.iq/maps/search/+33.0386,44.3298/@33.0386,44.3298,14z?hl=en","Maplink2")</f>
        <v>Maplink2</v>
      </c>
      <c r="AY377" s="104" t="str">
        <f>HYPERLINK("http://www.bing.com/maps/?lvl=14&amp;sty=h&amp;cp=33.0386~44.3298&amp;sp=point.33.0386_44.3298","Maplink3")</f>
        <v>Maplink3</v>
      </c>
    </row>
    <row r="378" spans="1:51" x14ac:dyDescent="0.2">
      <c r="A378" s="102">
        <v>33109</v>
      </c>
      <c r="B378" s="103" t="s">
        <v>30</v>
      </c>
      <c r="C378" s="103" t="s">
        <v>87</v>
      </c>
      <c r="D378" s="103" t="s">
        <v>834</v>
      </c>
      <c r="E378" s="103" t="s">
        <v>835</v>
      </c>
      <c r="F378" s="103">
        <v>33.022979999999997</v>
      </c>
      <c r="G378" s="103">
        <v>44.1264670041</v>
      </c>
      <c r="H378" s="102">
        <v>175</v>
      </c>
      <c r="I378" s="102">
        <v>1050</v>
      </c>
      <c r="J378" s="103"/>
      <c r="K378" s="103"/>
      <c r="L378" s="103"/>
      <c r="M378" s="103">
        <v>165</v>
      </c>
      <c r="N378" s="103">
        <v>10</v>
      </c>
      <c r="O378" s="103"/>
      <c r="P378" s="103"/>
      <c r="Q378" s="103"/>
      <c r="R378" s="103"/>
      <c r="S378" s="103"/>
      <c r="T378" s="103"/>
      <c r="U378" s="103"/>
      <c r="V378" s="103">
        <v>25</v>
      </c>
      <c r="W378" s="103">
        <v>150</v>
      </c>
      <c r="X378" s="103"/>
      <c r="Y378" s="103"/>
      <c r="Z378" s="103"/>
      <c r="AA378" s="103"/>
      <c r="AB378" s="103"/>
      <c r="AC378" s="103"/>
      <c r="AD378" s="103"/>
      <c r="AE378" s="103"/>
      <c r="AF378" s="103"/>
      <c r="AG378" s="103"/>
      <c r="AH378" s="103"/>
      <c r="AI378" s="103"/>
      <c r="AJ378" s="103"/>
      <c r="AK378" s="103"/>
      <c r="AL378" s="103"/>
      <c r="AM378" s="103">
        <v>175</v>
      </c>
      <c r="AN378" s="103"/>
      <c r="AO378" s="103"/>
      <c r="AP378" s="103"/>
      <c r="AQ378" s="103"/>
      <c r="AR378" s="103"/>
      <c r="AS378" s="103"/>
      <c r="AT378" s="103"/>
      <c r="AU378" s="103"/>
      <c r="AV378" s="103"/>
      <c r="AW378" s="104" t="str">
        <f>HYPERLINK("http://www.openstreetmap.org/?mlat=33.023&amp;mlon=44.1265&amp;zoom=12#map=12/33.023/44.1265","Maplink1")</f>
        <v>Maplink1</v>
      </c>
      <c r="AX378" s="104" t="str">
        <f>HYPERLINK("https://www.google.iq/maps/search/+33.023,44.1265/@33.023,44.1265,14z?hl=en","Maplink2")</f>
        <v>Maplink2</v>
      </c>
      <c r="AY378" s="104" t="str">
        <f>HYPERLINK("http://www.bing.com/maps/?lvl=14&amp;sty=h&amp;cp=33.023~44.1265&amp;sp=point.33.023_44.1265","Maplink3")</f>
        <v>Maplink3</v>
      </c>
    </row>
    <row r="379" spans="1:51" x14ac:dyDescent="0.2">
      <c r="A379" s="102">
        <v>33594</v>
      </c>
      <c r="B379" s="103" t="s">
        <v>30</v>
      </c>
      <c r="C379" s="103" t="s">
        <v>87</v>
      </c>
      <c r="D379" s="103" t="s">
        <v>836</v>
      </c>
      <c r="E379" s="103" t="s">
        <v>837</v>
      </c>
      <c r="F379" s="103">
        <v>33.035234000000003</v>
      </c>
      <c r="G379" s="103">
        <v>44.158113114400003</v>
      </c>
      <c r="H379" s="102">
        <v>26</v>
      </c>
      <c r="I379" s="102">
        <v>156</v>
      </c>
      <c r="J379" s="103"/>
      <c r="K379" s="103"/>
      <c r="L379" s="103"/>
      <c r="M379" s="103">
        <v>20</v>
      </c>
      <c r="N379" s="103">
        <v>6</v>
      </c>
      <c r="O379" s="103"/>
      <c r="P379" s="103"/>
      <c r="Q379" s="103"/>
      <c r="R379" s="103"/>
      <c r="S379" s="103"/>
      <c r="T379" s="103"/>
      <c r="U379" s="103"/>
      <c r="V379" s="103"/>
      <c r="W379" s="103">
        <v>21</v>
      </c>
      <c r="X379" s="103"/>
      <c r="Y379" s="103"/>
      <c r="Z379" s="103"/>
      <c r="AA379" s="103">
        <v>5</v>
      </c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103"/>
      <c r="AO379" s="103"/>
      <c r="AP379" s="103">
        <v>26</v>
      </c>
      <c r="AQ379" s="103"/>
      <c r="AR379" s="103"/>
      <c r="AS379" s="103"/>
      <c r="AT379" s="103"/>
      <c r="AU379" s="103"/>
      <c r="AV379" s="103"/>
      <c r="AW379" s="104" t="str">
        <f>HYPERLINK("http://www.openstreetmap.org/?mlat=33.0352&amp;mlon=44.1581&amp;zoom=12#map=12/33.0352/44.1581","Maplink1")</f>
        <v>Maplink1</v>
      </c>
      <c r="AX379" s="104" t="str">
        <f>HYPERLINK("https://www.google.iq/maps/search/+33.0352,44.1581/@33.0352,44.1581,14z?hl=en","Maplink2")</f>
        <v>Maplink2</v>
      </c>
      <c r="AY379" s="104" t="str">
        <f>HYPERLINK("http://www.bing.com/maps/?lvl=14&amp;sty=h&amp;cp=33.0352~44.1581&amp;sp=point.33.0352_44.1581","Maplink3")</f>
        <v>Maplink3</v>
      </c>
    </row>
    <row r="380" spans="1:51" x14ac:dyDescent="0.2">
      <c r="A380" s="102">
        <v>29489</v>
      </c>
      <c r="B380" s="103" t="s">
        <v>30</v>
      </c>
      <c r="C380" s="103" t="s">
        <v>87</v>
      </c>
      <c r="D380" s="103" t="s">
        <v>858</v>
      </c>
      <c r="E380" s="103" t="s">
        <v>859</v>
      </c>
      <c r="F380" s="103">
        <v>32.947200000000002</v>
      </c>
      <c r="G380" s="103">
        <v>44.389626172299998</v>
      </c>
      <c r="H380" s="102">
        <v>40</v>
      </c>
      <c r="I380" s="102">
        <v>240</v>
      </c>
      <c r="J380" s="103"/>
      <c r="K380" s="103"/>
      <c r="L380" s="103"/>
      <c r="M380" s="103">
        <v>40</v>
      </c>
      <c r="N380" s="103"/>
      <c r="O380" s="103"/>
      <c r="P380" s="103"/>
      <c r="Q380" s="103"/>
      <c r="R380" s="103"/>
      <c r="S380" s="103"/>
      <c r="T380" s="103"/>
      <c r="U380" s="103"/>
      <c r="V380" s="103"/>
      <c r="W380" s="103">
        <v>40</v>
      </c>
      <c r="X380" s="103"/>
      <c r="Y380" s="103"/>
      <c r="Z380" s="103"/>
      <c r="AA380" s="103"/>
      <c r="AB380" s="103"/>
      <c r="AC380" s="103"/>
      <c r="AD380" s="103"/>
      <c r="AE380" s="103"/>
      <c r="AF380" s="103"/>
      <c r="AG380" s="103"/>
      <c r="AH380" s="103"/>
      <c r="AI380" s="103"/>
      <c r="AJ380" s="103"/>
      <c r="AK380" s="103"/>
      <c r="AL380" s="103"/>
      <c r="AM380" s="103"/>
      <c r="AN380" s="103"/>
      <c r="AO380" s="103"/>
      <c r="AP380" s="103">
        <v>40</v>
      </c>
      <c r="AQ380" s="103"/>
      <c r="AR380" s="103"/>
      <c r="AS380" s="103"/>
      <c r="AT380" s="103"/>
      <c r="AU380" s="103"/>
      <c r="AV380" s="103"/>
      <c r="AW380" s="104" t="str">
        <f>HYPERLINK("http://www.openstreetmap.org/?mlat=32.9472&amp;mlon=44.3896&amp;zoom=12#map=12/32.9472/44.3896","Maplink1")</f>
        <v>Maplink1</v>
      </c>
      <c r="AX380" s="104" t="str">
        <f>HYPERLINK("https://www.google.iq/maps/search/+32.9472,44.3896/@32.9472,44.3896,14z?hl=en","Maplink2")</f>
        <v>Maplink2</v>
      </c>
      <c r="AY380" s="104" t="str">
        <f>HYPERLINK("http://www.bing.com/maps/?lvl=14&amp;sty=h&amp;cp=32.9472~44.3896&amp;sp=point.32.9472_44.3896","Maplink3")</f>
        <v>Maplink3</v>
      </c>
    </row>
    <row r="381" spans="1:51" x14ac:dyDescent="0.2">
      <c r="A381" s="102">
        <v>32040</v>
      </c>
      <c r="B381" s="103" t="s">
        <v>30</v>
      </c>
      <c r="C381" s="103" t="s">
        <v>87</v>
      </c>
      <c r="D381" s="103" t="s">
        <v>848</v>
      </c>
      <c r="E381" s="103" t="s">
        <v>849</v>
      </c>
      <c r="F381" s="103">
        <v>33.166091999999999</v>
      </c>
      <c r="G381" s="103">
        <v>44.010943163</v>
      </c>
      <c r="H381" s="102">
        <v>175</v>
      </c>
      <c r="I381" s="102">
        <v>1050</v>
      </c>
      <c r="J381" s="103"/>
      <c r="K381" s="103"/>
      <c r="L381" s="103"/>
      <c r="M381" s="103">
        <v>160</v>
      </c>
      <c r="N381" s="103">
        <v>15</v>
      </c>
      <c r="O381" s="103"/>
      <c r="P381" s="103"/>
      <c r="Q381" s="103"/>
      <c r="R381" s="103"/>
      <c r="S381" s="103"/>
      <c r="T381" s="103"/>
      <c r="U381" s="103"/>
      <c r="V381" s="103"/>
      <c r="W381" s="103">
        <v>149</v>
      </c>
      <c r="X381" s="103"/>
      <c r="Y381" s="103"/>
      <c r="Z381" s="103"/>
      <c r="AA381" s="103">
        <v>26</v>
      </c>
      <c r="AB381" s="103"/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>
        <v>175</v>
      </c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4" t="str">
        <f>HYPERLINK("http://www.openstreetmap.org/?mlat=33.1661&amp;mlon=44.0109&amp;zoom=12#map=12/33.1661/44.0109","Maplink1")</f>
        <v>Maplink1</v>
      </c>
      <c r="AX381" s="104" t="str">
        <f>HYPERLINK("https://www.google.iq/maps/search/+33.1661,44.0109/@33.1661,44.0109,14z?hl=en","Maplink2")</f>
        <v>Maplink2</v>
      </c>
      <c r="AY381" s="104" t="str">
        <f>HYPERLINK("http://www.bing.com/maps/?lvl=14&amp;sty=h&amp;cp=33.1661~44.0109&amp;sp=point.33.1661_44.0109","Maplink3")</f>
        <v>Maplink3</v>
      </c>
    </row>
    <row r="382" spans="1:51" x14ac:dyDescent="0.2">
      <c r="A382" s="102">
        <v>33108</v>
      </c>
      <c r="B382" s="103" t="s">
        <v>30</v>
      </c>
      <c r="C382" s="103" t="s">
        <v>87</v>
      </c>
      <c r="D382" s="103" t="s">
        <v>850</v>
      </c>
      <c r="E382" s="103" t="s">
        <v>851</v>
      </c>
      <c r="F382" s="103">
        <v>33.020412</v>
      </c>
      <c r="G382" s="103">
        <v>44.167478709999997</v>
      </c>
      <c r="H382" s="102">
        <v>140</v>
      </c>
      <c r="I382" s="102">
        <v>840</v>
      </c>
      <c r="J382" s="103"/>
      <c r="K382" s="103"/>
      <c r="L382" s="103"/>
      <c r="M382" s="103">
        <v>136</v>
      </c>
      <c r="N382" s="103">
        <v>4</v>
      </c>
      <c r="O382" s="103"/>
      <c r="P382" s="103"/>
      <c r="Q382" s="103"/>
      <c r="R382" s="103"/>
      <c r="S382" s="103"/>
      <c r="T382" s="103"/>
      <c r="U382" s="103"/>
      <c r="V382" s="103">
        <v>30</v>
      </c>
      <c r="W382" s="103">
        <v>110</v>
      </c>
      <c r="X382" s="103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>
        <v>140</v>
      </c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4" t="str">
        <f>HYPERLINK("http://www.openstreetmap.org/?mlat=33.0204&amp;mlon=44.1675&amp;zoom=12#map=12/33.0204/44.1675","Maplink1")</f>
        <v>Maplink1</v>
      </c>
      <c r="AX382" s="104" t="str">
        <f>HYPERLINK("https://www.google.iq/maps/search/+33.0204,44.1675/@33.0204,44.1675,14z?hl=en","Maplink2")</f>
        <v>Maplink2</v>
      </c>
      <c r="AY382" s="104" t="str">
        <f>HYPERLINK("http://www.bing.com/maps/?lvl=14&amp;sty=h&amp;cp=33.0204~44.1675&amp;sp=point.33.0204_44.1675","Maplink3")</f>
        <v>Maplink3</v>
      </c>
    </row>
    <row r="383" spans="1:51" x14ac:dyDescent="0.2">
      <c r="A383" s="102">
        <v>25153</v>
      </c>
      <c r="B383" s="103" t="s">
        <v>30</v>
      </c>
      <c r="C383" s="103" t="s">
        <v>87</v>
      </c>
      <c r="D383" s="103" t="s">
        <v>876</v>
      </c>
      <c r="E383" s="103" t="s">
        <v>877</v>
      </c>
      <c r="F383" s="103">
        <v>32.917140766899998</v>
      </c>
      <c r="G383" s="103">
        <v>44.399668264799999</v>
      </c>
      <c r="H383" s="102">
        <v>70</v>
      </c>
      <c r="I383" s="102">
        <v>420</v>
      </c>
      <c r="J383" s="103"/>
      <c r="K383" s="103"/>
      <c r="L383" s="103"/>
      <c r="M383" s="103">
        <v>55</v>
      </c>
      <c r="N383" s="103">
        <v>15</v>
      </c>
      <c r="O383" s="103"/>
      <c r="P383" s="103"/>
      <c r="Q383" s="103"/>
      <c r="R383" s="103"/>
      <c r="S383" s="103"/>
      <c r="T383" s="103"/>
      <c r="U383" s="103"/>
      <c r="V383" s="103"/>
      <c r="W383" s="103">
        <v>65</v>
      </c>
      <c r="X383" s="103"/>
      <c r="Y383" s="103"/>
      <c r="Z383" s="103"/>
      <c r="AA383" s="103">
        <v>5</v>
      </c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103"/>
      <c r="AO383" s="103"/>
      <c r="AP383" s="103">
        <v>70</v>
      </c>
      <c r="AQ383" s="103"/>
      <c r="AR383" s="103"/>
      <c r="AS383" s="103"/>
      <c r="AT383" s="103"/>
      <c r="AU383" s="103"/>
      <c r="AV383" s="103"/>
      <c r="AW383" s="104" t="str">
        <f>HYPERLINK("http://www.openstreetmap.org/?mlat=32.9171&amp;mlon=44.3997&amp;zoom=12#map=12/32.9171/44.3997","Maplink1")</f>
        <v>Maplink1</v>
      </c>
      <c r="AX383" s="104" t="str">
        <f>HYPERLINK("https://www.google.iq/maps/search/+32.9171,44.3997/@32.9171,44.3997,14z?hl=en","Maplink2")</f>
        <v>Maplink2</v>
      </c>
      <c r="AY383" s="104" t="str">
        <f>HYPERLINK("http://www.bing.com/maps/?lvl=14&amp;sty=h&amp;cp=32.9171~44.3997&amp;sp=point.32.9171_44.3997","Maplink3")</f>
        <v>Maplink3</v>
      </c>
    </row>
    <row r="384" spans="1:51" x14ac:dyDescent="0.2">
      <c r="A384" s="102">
        <v>33183</v>
      </c>
      <c r="B384" s="103" t="s">
        <v>30</v>
      </c>
      <c r="C384" s="103" t="s">
        <v>87</v>
      </c>
      <c r="D384" s="103" t="s">
        <v>878</v>
      </c>
      <c r="E384" s="103" t="s">
        <v>879</v>
      </c>
      <c r="F384" s="103">
        <v>33.108393</v>
      </c>
      <c r="G384" s="103">
        <v>44.160433034699999</v>
      </c>
      <c r="H384" s="102">
        <v>300</v>
      </c>
      <c r="I384" s="102">
        <v>1800</v>
      </c>
      <c r="J384" s="103"/>
      <c r="K384" s="103"/>
      <c r="L384" s="103"/>
      <c r="M384" s="103">
        <v>275</v>
      </c>
      <c r="N384" s="103">
        <v>25</v>
      </c>
      <c r="O384" s="103"/>
      <c r="P384" s="103"/>
      <c r="Q384" s="103"/>
      <c r="R384" s="103"/>
      <c r="S384" s="103"/>
      <c r="T384" s="103"/>
      <c r="U384" s="103"/>
      <c r="V384" s="103">
        <v>30</v>
      </c>
      <c r="W384" s="103">
        <v>270</v>
      </c>
      <c r="X384" s="103"/>
      <c r="Y384" s="103"/>
      <c r="Z384" s="103"/>
      <c r="AA384" s="103"/>
      <c r="AB384" s="103"/>
      <c r="AC384" s="103"/>
      <c r="AD384" s="103"/>
      <c r="AE384" s="103"/>
      <c r="AF384" s="103"/>
      <c r="AG384" s="103"/>
      <c r="AH384" s="103"/>
      <c r="AI384" s="103"/>
      <c r="AJ384" s="103"/>
      <c r="AK384" s="103"/>
      <c r="AL384" s="103"/>
      <c r="AM384" s="103"/>
      <c r="AN384" s="103"/>
      <c r="AO384" s="103"/>
      <c r="AP384" s="103">
        <v>300</v>
      </c>
      <c r="AQ384" s="103"/>
      <c r="AR384" s="103"/>
      <c r="AS384" s="103"/>
      <c r="AT384" s="103"/>
      <c r="AU384" s="103"/>
      <c r="AV384" s="103"/>
      <c r="AW384" s="104" t="str">
        <f>HYPERLINK("http://www.openstreetmap.org/?mlat=33.1084&amp;mlon=44.1604&amp;zoom=12#map=12/33.1084/44.1604","Maplink1")</f>
        <v>Maplink1</v>
      </c>
      <c r="AX384" s="104" t="str">
        <f>HYPERLINK("https://www.google.iq/maps/search/+33.1084,44.1604/@33.1084,44.1604,14z?hl=en","Maplink2")</f>
        <v>Maplink2</v>
      </c>
      <c r="AY384" s="104" t="str">
        <f>HYPERLINK("http://www.bing.com/maps/?lvl=14&amp;sty=h&amp;cp=33.1084~44.1604&amp;sp=point.33.1084_44.1604","Maplink3")</f>
        <v>Maplink3</v>
      </c>
    </row>
    <row r="385" spans="1:51" x14ac:dyDescent="0.2">
      <c r="A385" s="102">
        <v>33102</v>
      </c>
      <c r="B385" s="103" t="s">
        <v>30</v>
      </c>
      <c r="C385" s="103" t="s">
        <v>87</v>
      </c>
      <c r="D385" s="103" t="s">
        <v>852</v>
      </c>
      <c r="E385" s="103" t="s">
        <v>853</v>
      </c>
      <c r="F385" s="103">
        <v>33.098108000000003</v>
      </c>
      <c r="G385" s="103">
        <v>44.217797178700003</v>
      </c>
      <c r="H385" s="102">
        <v>50</v>
      </c>
      <c r="I385" s="102">
        <v>300</v>
      </c>
      <c r="J385" s="103"/>
      <c r="K385" s="103"/>
      <c r="L385" s="103"/>
      <c r="M385" s="103">
        <v>30</v>
      </c>
      <c r="N385" s="103">
        <v>20</v>
      </c>
      <c r="O385" s="103"/>
      <c r="P385" s="103"/>
      <c r="Q385" s="103"/>
      <c r="R385" s="103"/>
      <c r="S385" s="103"/>
      <c r="T385" s="103"/>
      <c r="U385" s="103"/>
      <c r="V385" s="103"/>
      <c r="W385" s="103">
        <v>50</v>
      </c>
      <c r="X385" s="103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>
        <v>50</v>
      </c>
      <c r="AQ385" s="103"/>
      <c r="AR385" s="103"/>
      <c r="AS385" s="103"/>
      <c r="AT385" s="103"/>
      <c r="AU385" s="103"/>
      <c r="AV385" s="103"/>
      <c r="AW385" s="104" t="str">
        <f>HYPERLINK("http://www.openstreetmap.org/?mlat=33.0981&amp;mlon=44.2178&amp;zoom=12#map=12/33.0981/44.2178","Maplink1")</f>
        <v>Maplink1</v>
      </c>
      <c r="AX385" s="104" t="str">
        <f>HYPERLINK("https://www.google.iq/maps/search/+33.0981,44.2178/@33.0981,44.2178,14z?hl=en","Maplink2")</f>
        <v>Maplink2</v>
      </c>
      <c r="AY385" s="104" t="str">
        <f>HYPERLINK("http://www.bing.com/maps/?lvl=14&amp;sty=h&amp;cp=33.0981~44.2178&amp;sp=point.33.0981_44.2178","Maplink3")</f>
        <v>Maplink3</v>
      </c>
    </row>
    <row r="386" spans="1:51" x14ac:dyDescent="0.2">
      <c r="A386" s="102">
        <v>33106</v>
      </c>
      <c r="B386" s="103" t="s">
        <v>30</v>
      </c>
      <c r="C386" s="103" t="s">
        <v>87</v>
      </c>
      <c r="D386" s="103" t="s">
        <v>854</v>
      </c>
      <c r="E386" s="103" t="s">
        <v>855</v>
      </c>
      <c r="F386" s="103">
        <v>33.043149999999997</v>
      </c>
      <c r="G386" s="103">
        <v>44.184538806699997</v>
      </c>
      <c r="H386" s="102">
        <v>170</v>
      </c>
      <c r="I386" s="102">
        <v>1020</v>
      </c>
      <c r="J386" s="103"/>
      <c r="K386" s="103"/>
      <c r="L386" s="103"/>
      <c r="M386" s="103">
        <v>165</v>
      </c>
      <c r="N386" s="103">
        <v>5</v>
      </c>
      <c r="O386" s="103"/>
      <c r="P386" s="103"/>
      <c r="Q386" s="103"/>
      <c r="R386" s="103"/>
      <c r="S386" s="103"/>
      <c r="T386" s="103"/>
      <c r="U386" s="103"/>
      <c r="V386" s="103">
        <v>14</v>
      </c>
      <c r="W386" s="103">
        <v>134</v>
      </c>
      <c r="X386" s="103"/>
      <c r="Y386" s="103"/>
      <c r="Z386" s="103"/>
      <c r="AA386" s="103">
        <v>22</v>
      </c>
      <c r="AB386" s="103"/>
      <c r="AC386" s="103"/>
      <c r="AD386" s="103"/>
      <c r="AE386" s="103"/>
      <c r="AF386" s="103"/>
      <c r="AG386" s="103"/>
      <c r="AH386" s="103"/>
      <c r="AI386" s="103"/>
      <c r="AJ386" s="103"/>
      <c r="AK386" s="103"/>
      <c r="AL386" s="103"/>
      <c r="AM386" s="103">
        <v>170</v>
      </c>
      <c r="AN386" s="103"/>
      <c r="AO386" s="103"/>
      <c r="AP386" s="103"/>
      <c r="AQ386" s="103"/>
      <c r="AR386" s="103"/>
      <c r="AS386" s="103"/>
      <c r="AT386" s="103"/>
      <c r="AU386" s="103"/>
      <c r="AV386" s="103"/>
      <c r="AW386" s="104" t="str">
        <f>HYPERLINK("http://www.openstreetmap.org/?mlat=33.0431&amp;mlon=44.1845&amp;zoom=12#map=12/33.0431/44.1845","Maplink1")</f>
        <v>Maplink1</v>
      </c>
      <c r="AX386" s="104" t="str">
        <f>HYPERLINK("https://www.google.iq/maps/search/+33.0431,44.1845/@33.0431,44.1845,14z?hl=en","Maplink2")</f>
        <v>Maplink2</v>
      </c>
      <c r="AY386" s="104" t="str">
        <f>HYPERLINK("http://www.bing.com/maps/?lvl=14&amp;sty=h&amp;cp=33.0431~44.1845&amp;sp=point.33.0431_44.1845","Maplink3")</f>
        <v>Maplink3</v>
      </c>
    </row>
    <row r="387" spans="1:51" x14ac:dyDescent="0.2">
      <c r="A387" s="102">
        <v>7611</v>
      </c>
      <c r="B387" s="103" t="s">
        <v>30</v>
      </c>
      <c r="C387" s="103" t="s">
        <v>87</v>
      </c>
      <c r="D387" s="103" t="s">
        <v>874</v>
      </c>
      <c r="E387" s="103" t="s">
        <v>875</v>
      </c>
      <c r="F387" s="103">
        <v>33.158599000000002</v>
      </c>
      <c r="G387" s="103">
        <v>44.021019518300001</v>
      </c>
      <c r="H387" s="102">
        <v>60</v>
      </c>
      <c r="I387" s="102">
        <v>360</v>
      </c>
      <c r="J387" s="103"/>
      <c r="K387" s="103"/>
      <c r="L387" s="103"/>
      <c r="M387" s="103">
        <v>60</v>
      </c>
      <c r="N387" s="103"/>
      <c r="O387" s="103"/>
      <c r="P387" s="103"/>
      <c r="Q387" s="103"/>
      <c r="R387" s="103"/>
      <c r="S387" s="103"/>
      <c r="T387" s="103"/>
      <c r="U387" s="103"/>
      <c r="V387" s="103"/>
      <c r="W387" s="103">
        <v>60</v>
      </c>
      <c r="X387" s="103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3"/>
      <c r="AM387" s="103">
        <v>60</v>
      </c>
      <c r="AN387" s="103"/>
      <c r="AO387" s="103"/>
      <c r="AP387" s="103"/>
      <c r="AQ387" s="103"/>
      <c r="AR387" s="103"/>
      <c r="AS387" s="103"/>
      <c r="AT387" s="103"/>
      <c r="AU387" s="103"/>
      <c r="AV387" s="103"/>
      <c r="AW387" s="104" t="str">
        <f>HYPERLINK("http://www.openstreetmap.org/?mlat=33.1586&amp;mlon=44.021&amp;zoom=12#map=12/33.1586/44.021","Maplink1")</f>
        <v>Maplink1</v>
      </c>
      <c r="AX387" s="104" t="str">
        <f>HYPERLINK("https://www.google.iq/maps/search/+33.1586,44.021/@33.1586,44.021,14z?hl=en","Maplink2")</f>
        <v>Maplink2</v>
      </c>
      <c r="AY387" s="104" t="str">
        <f>HYPERLINK("http://www.bing.com/maps/?lvl=14&amp;sty=h&amp;cp=33.1586~44.021&amp;sp=point.33.1586_44.021","Maplink3")</f>
        <v>Maplink3</v>
      </c>
    </row>
    <row r="388" spans="1:51" x14ac:dyDescent="0.2">
      <c r="A388" s="102">
        <v>29488</v>
      </c>
      <c r="B388" s="103" t="s">
        <v>30</v>
      </c>
      <c r="C388" s="103" t="s">
        <v>87</v>
      </c>
      <c r="D388" s="103" t="s">
        <v>860</v>
      </c>
      <c r="E388" s="103" t="s">
        <v>861</v>
      </c>
      <c r="F388" s="103">
        <v>33.015099999999997</v>
      </c>
      <c r="G388" s="103">
        <v>44.417837004500001</v>
      </c>
      <c r="H388" s="102">
        <v>99</v>
      </c>
      <c r="I388" s="102">
        <v>594</v>
      </c>
      <c r="J388" s="103"/>
      <c r="K388" s="103"/>
      <c r="L388" s="103"/>
      <c r="M388" s="103">
        <v>94</v>
      </c>
      <c r="N388" s="103">
        <v>5</v>
      </c>
      <c r="O388" s="103"/>
      <c r="P388" s="103"/>
      <c r="Q388" s="103"/>
      <c r="R388" s="103"/>
      <c r="S388" s="103"/>
      <c r="T388" s="103"/>
      <c r="U388" s="103"/>
      <c r="V388" s="103"/>
      <c r="W388" s="103">
        <v>99</v>
      </c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103"/>
      <c r="AO388" s="103"/>
      <c r="AP388" s="103">
        <v>99</v>
      </c>
      <c r="AQ388" s="103"/>
      <c r="AR388" s="103"/>
      <c r="AS388" s="103"/>
      <c r="AT388" s="103"/>
      <c r="AU388" s="103"/>
      <c r="AV388" s="103"/>
      <c r="AW388" s="104" t="str">
        <f>HYPERLINK("http://www.openstreetmap.org/?mlat=33.0151&amp;mlon=44.4178&amp;zoom=12#map=12/33.0151/44.4178","Maplink1")</f>
        <v>Maplink1</v>
      </c>
      <c r="AX388" s="104" t="str">
        <f>HYPERLINK("https://www.google.iq/maps/search/+33.0151,44.4178/@33.0151,44.4178,14z?hl=en","Maplink2")</f>
        <v>Maplink2</v>
      </c>
      <c r="AY388" s="104" t="str">
        <f>HYPERLINK("http://www.bing.com/maps/?lvl=14&amp;sty=h&amp;cp=33.0151~44.4178&amp;sp=point.33.0151_44.4178","Maplink3")</f>
        <v>Maplink3</v>
      </c>
    </row>
    <row r="389" spans="1:51" x14ac:dyDescent="0.2">
      <c r="A389" s="102">
        <v>31993</v>
      </c>
      <c r="B389" s="103" t="s">
        <v>30</v>
      </c>
      <c r="C389" s="103" t="s">
        <v>87</v>
      </c>
      <c r="D389" s="103" t="s">
        <v>862</v>
      </c>
      <c r="E389" s="103" t="s">
        <v>863</v>
      </c>
      <c r="F389" s="103">
        <v>33.171292999999999</v>
      </c>
      <c r="G389" s="103">
        <v>44.041861741200002</v>
      </c>
      <c r="H389" s="102">
        <v>105</v>
      </c>
      <c r="I389" s="102">
        <v>630</v>
      </c>
      <c r="J389" s="103"/>
      <c r="K389" s="103"/>
      <c r="L389" s="103"/>
      <c r="M389" s="103">
        <v>95</v>
      </c>
      <c r="N389" s="103">
        <v>10</v>
      </c>
      <c r="O389" s="103"/>
      <c r="P389" s="103"/>
      <c r="Q389" s="103"/>
      <c r="R389" s="103"/>
      <c r="S389" s="103"/>
      <c r="T389" s="103"/>
      <c r="U389" s="103"/>
      <c r="V389" s="103"/>
      <c r="W389" s="103">
        <v>105</v>
      </c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>
        <v>27</v>
      </c>
      <c r="AN389" s="103">
        <v>78</v>
      </c>
      <c r="AO389" s="103"/>
      <c r="AP389" s="103"/>
      <c r="AQ389" s="103"/>
      <c r="AR389" s="103"/>
      <c r="AS389" s="103"/>
      <c r="AT389" s="103"/>
      <c r="AU389" s="103"/>
      <c r="AV389" s="103"/>
      <c r="AW389" s="104" t="str">
        <f>HYPERLINK("http://www.openstreetmap.org/?mlat=33.1713&amp;mlon=44.0419&amp;zoom=12#map=12/33.1713/44.0419","Maplink1")</f>
        <v>Maplink1</v>
      </c>
      <c r="AX389" s="104" t="str">
        <f>HYPERLINK("https://www.google.iq/maps/search/+33.1713,44.0419/@33.1713,44.0419,14z?hl=en","Maplink2")</f>
        <v>Maplink2</v>
      </c>
      <c r="AY389" s="104" t="str">
        <f>HYPERLINK("http://www.bing.com/maps/?lvl=14&amp;sty=h&amp;cp=33.1713~44.0419&amp;sp=point.33.1713_44.0419","Maplink3")</f>
        <v>Maplink3</v>
      </c>
    </row>
    <row r="390" spans="1:51" x14ac:dyDescent="0.2">
      <c r="A390" s="102">
        <v>33107</v>
      </c>
      <c r="B390" s="103" t="s">
        <v>30</v>
      </c>
      <c r="C390" s="103" t="s">
        <v>87</v>
      </c>
      <c r="D390" s="103" t="s">
        <v>864</v>
      </c>
      <c r="E390" s="103" t="s">
        <v>865</v>
      </c>
      <c r="F390" s="103">
        <v>33.030745000000003</v>
      </c>
      <c r="G390" s="103">
        <v>44.177779295599997</v>
      </c>
      <c r="H390" s="102">
        <v>200</v>
      </c>
      <c r="I390" s="102">
        <v>1200</v>
      </c>
      <c r="J390" s="103"/>
      <c r="K390" s="103"/>
      <c r="L390" s="103"/>
      <c r="M390" s="103">
        <v>196</v>
      </c>
      <c r="N390" s="103">
        <v>4</v>
      </c>
      <c r="O390" s="103"/>
      <c r="P390" s="103"/>
      <c r="Q390" s="103"/>
      <c r="R390" s="103"/>
      <c r="S390" s="103"/>
      <c r="T390" s="103"/>
      <c r="U390" s="103"/>
      <c r="V390" s="103">
        <v>25</v>
      </c>
      <c r="W390" s="103">
        <v>145</v>
      </c>
      <c r="X390" s="103"/>
      <c r="Y390" s="103"/>
      <c r="Z390" s="103"/>
      <c r="AA390" s="103">
        <v>30</v>
      </c>
      <c r="AB390" s="103"/>
      <c r="AC390" s="103"/>
      <c r="AD390" s="103"/>
      <c r="AE390" s="103"/>
      <c r="AF390" s="103"/>
      <c r="AG390" s="103"/>
      <c r="AH390" s="103"/>
      <c r="AI390" s="103"/>
      <c r="AJ390" s="103"/>
      <c r="AK390" s="103"/>
      <c r="AL390" s="103"/>
      <c r="AM390" s="103"/>
      <c r="AN390" s="103"/>
      <c r="AO390" s="103">
        <v>200</v>
      </c>
      <c r="AP390" s="103"/>
      <c r="AQ390" s="103"/>
      <c r="AR390" s="103"/>
      <c r="AS390" s="103"/>
      <c r="AT390" s="103"/>
      <c r="AU390" s="103"/>
      <c r="AV390" s="103"/>
      <c r="AW390" s="104" t="str">
        <f>HYPERLINK("http://www.openstreetmap.org/?mlat=33.0307&amp;mlon=44.1778&amp;zoom=12#map=12/33.0307/44.1778","Maplink1")</f>
        <v>Maplink1</v>
      </c>
      <c r="AX390" s="104" t="str">
        <f>HYPERLINK("https://www.google.iq/maps/search/+33.0307,44.1778/@33.0307,44.1778,14z?hl=en","Maplink2")</f>
        <v>Maplink2</v>
      </c>
      <c r="AY390" s="104" t="str">
        <f>HYPERLINK("http://www.bing.com/maps/?lvl=14&amp;sty=h&amp;cp=33.0307~44.1778&amp;sp=point.33.0307_44.1778","Maplink3")</f>
        <v>Maplink3</v>
      </c>
    </row>
    <row r="391" spans="1:51" x14ac:dyDescent="0.2">
      <c r="A391" s="102">
        <v>29493</v>
      </c>
      <c r="B391" s="103" t="s">
        <v>30</v>
      </c>
      <c r="C391" s="103" t="s">
        <v>87</v>
      </c>
      <c r="D391" s="103" t="s">
        <v>866</v>
      </c>
      <c r="E391" s="103" t="s">
        <v>867</v>
      </c>
      <c r="F391" s="103">
        <v>33.038465330000001</v>
      </c>
      <c r="G391" s="103">
        <v>44.200301252199999</v>
      </c>
      <c r="H391" s="102">
        <v>70</v>
      </c>
      <c r="I391" s="102">
        <v>420</v>
      </c>
      <c r="J391" s="103"/>
      <c r="K391" s="103"/>
      <c r="L391" s="103"/>
      <c r="M391" s="103">
        <v>62</v>
      </c>
      <c r="N391" s="103">
        <v>8</v>
      </c>
      <c r="O391" s="103"/>
      <c r="P391" s="103"/>
      <c r="Q391" s="103"/>
      <c r="R391" s="103"/>
      <c r="S391" s="103"/>
      <c r="T391" s="103"/>
      <c r="U391" s="103"/>
      <c r="V391" s="103"/>
      <c r="W391" s="103">
        <v>70</v>
      </c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103"/>
      <c r="AO391" s="103">
        <v>70</v>
      </c>
      <c r="AP391" s="103"/>
      <c r="AQ391" s="103"/>
      <c r="AR391" s="103"/>
      <c r="AS391" s="103"/>
      <c r="AT391" s="103"/>
      <c r="AU391" s="103"/>
      <c r="AV391" s="103"/>
      <c r="AW391" s="104" t="str">
        <f>HYPERLINK("http://www.openstreetmap.org/?mlat=33.0385&amp;mlon=44.2003&amp;zoom=12#map=12/33.0385/44.2003","Maplink1")</f>
        <v>Maplink1</v>
      </c>
      <c r="AX391" s="104" t="str">
        <f>HYPERLINK("https://www.google.iq/maps/search/+33.0385,44.2003/@33.0385,44.2003,14z?hl=en","Maplink2")</f>
        <v>Maplink2</v>
      </c>
      <c r="AY391" s="104" t="str">
        <f>HYPERLINK("http://www.bing.com/maps/?lvl=14&amp;sty=h&amp;cp=33.0385~44.2003&amp;sp=point.33.0385_44.2003","Maplink3")</f>
        <v>Maplink3</v>
      </c>
    </row>
    <row r="392" spans="1:51" x14ac:dyDescent="0.2">
      <c r="A392" s="102">
        <v>29487</v>
      </c>
      <c r="B392" s="103" t="s">
        <v>30</v>
      </c>
      <c r="C392" s="103" t="s">
        <v>87</v>
      </c>
      <c r="D392" s="103" t="s">
        <v>828</v>
      </c>
      <c r="E392" s="103" t="s">
        <v>829</v>
      </c>
      <c r="F392" s="103">
        <v>33.020099999999999</v>
      </c>
      <c r="G392" s="103">
        <v>44.370800053300002</v>
      </c>
      <c r="H392" s="102">
        <v>68</v>
      </c>
      <c r="I392" s="102">
        <v>408</v>
      </c>
      <c r="J392" s="103"/>
      <c r="K392" s="103"/>
      <c r="L392" s="103"/>
      <c r="M392" s="103">
        <v>61</v>
      </c>
      <c r="N392" s="103">
        <v>7</v>
      </c>
      <c r="O392" s="103"/>
      <c r="P392" s="103"/>
      <c r="Q392" s="103"/>
      <c r="R392" s="103"/>
      <c r="S392" s="103"/>
      <c r="T392" s="103"/>
      <c r="U392" s="103"/>
      <c r="V392" s="103"/>
      <c r="W392" s="103">
        <v>68</v>
      </c>
      <c r="X392" s="103"/>
      <c r="Y392" s="103"/>
      <c r="Z392" s="103"/>
      <c r="AA392" s="103"/>
      <c r="AB392" s="103"/>
      <c r="AC392" s="103"/>
      <c r="AD392" s="103"/>
      <c r="AE392" s="103"/>
      <c r="AF392" s="103"/>
      <c r="AG392" s="103"/>
      <c r="AH392" s="103"/>
      <c r="AI392" s="103"/>
      <c r="AJ392" s="103"/>
      <c r="AK392" s="103"/>
      <c r="AL392" s="103"/>
      <c r="AM392" s="103"/>
      <c r="AN392" s="103"/>
      <c r="AO392" s="103"/>
      <c r="AP392" s="103">
        <v>68</v>
      </c>
      <c r="AQ392" s="103"/>
      <c r="AR392" s="103"/>
      <c r="AS392" s="103"/>
      <c r="AT392" s="103"/>
      <c r="AU392" s="103"/>
      <c r="AV392" s="103"/>
      <c r="AW392" s="104" t="str">
        <f>HYPERLINK("http://www.openstreetmap.org/?mlat=33.0201&amp;mlon=44.3708&amp;zoom=12#map=12/33.0201/44.3708","Maplink1")</f>
        <v>Maplink1</v>
      </c>
      <c r="AX392" s="104" t="str">
        <f>HYPERLINK("https://www.google.iq/maps/search/+33.0201,44.3708/@33.0201,44.3708,14z?hl=en","Maplink2")</f>
        <v>Maplink2</v>
      </c>
      <c r="AY392" s="104" t="str">
        <f>HYPERLINK("http://www.bing.com/maps/?lvl=14&amp;sty=h&amp;cp=33.0201~44.3708&amp;sp=point.33.0201_44.3708","Maplink3")</f>
        <v>Maplink3</v>
      </c>
    </row>
    <row r="393" spans="1:51" x14ac:dyDescent="0.2">
      <c r="A393" s="102">
        <v>33184</v>
      </c>
      <c r="B393" s="103" t="s">
        <v>30</v>
      </c>
      <c r="C393" s="103" t="s">
        <v>87</v>
      </c>
      <c r="D393" s="103" t="s">
        <v>830</v>
      </c>
      <c r="E393" s="103" t="s">
        <v>831</v>
      </c>
      <c r="F393" s="103">
        <v>33.100087000000002</v>
      </c>
      <c r="G393" s="103">
        <v>44.174047243300002</v>
      </c>
      <c r="H393" s="102">
        <v>350</v>
      </c>
      <c r="I393" s="102">
        <v>2100</v>
      </c>
      <c r="J393" s="103"/>
      <c r="K393" s="103"/>
      <c r="L393" s="103"/>
      <c r="M393" s="103">
        <v>320</v>
      </c>
      <c r="N393" s="103">
        <v>30</v>
      </c>
      <c r="O393" s="103"/>
      <c r="P393" s="103"/>
      <c r="Q393" s="103"/>
      <c r="R393" s="103"/>
      <c r="S393" s="103"/>
      <c r="T393" s="103"/>
      <c r="U393" s="103"/>
      <c r="V393" s="103">
        <v>40</v>
      </c>
      <c r="W393" s="103">
        <v>310</v>
      </c>
      <c r="X393" s="103"/>
      <c r="Y393" s="103"/>
      <c r="Z393" s="103"/>
      <c r="AA393" s="103"/>
      <c r="AB393" s="103"/>
      <c r="AC393" s="103"/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103"/>
      <c r="AO393" s="103"/>
      <c r="AP393" s="103">
        <v>350</v>
      </c>
      <c r="AQ393" s="103"/>
      <c r="AR393" s="103"/>
      <c r="AS393" s="103"/>
      <c r="AT393" s="103"/>
      <c r="AU393" s="103"/>
      <c r="AV393" s="103"/>
      <c r="AW393" s="104" t="str">
        <f>HYPERLINK("http://www.openstreetmap.org/?mlat=33.1001&amp;mlon=44.174&amp;zoom=12#map=12/33.1001/44.174","Maplink1")</f>
        <v>Maplink1</v>
      </c>
      <c r="AX393" s="104" t="str">
        <f>HYPERLINK("https://www.google.iq/maps/search/+33.1001,44.174/@33.1001,44.174,14z?hl=en","Maplink2")</f>
        <v>Maplink2</v>
      </c>
      <c r="AY393" s="104" t="str">
        <f>HYPERLINK("http://www.bing.com/maps/?lvl=14&amp;sty=h&amp;cp=33.1001~44.174&amp;sp=point.33.1001_44.174","Maplink3")</f>
        <v>Maplink3</v>
      </c>
    </row>
    <row r="394" spans="1:51" x14ac:dyDescent="0.2">
      <c r="A394" s="102">
        <v>32062</v>
      </c>
      <c r="B394" s="103" t="s">
        <v>30</v>
      </c>
      <c r="C394" s="103" t="s">
        <v>87</v>
      </c>
      <c r="D394" s="103" t="s">
        <v>880</v>
      </c>
      <c r="E394" s="103" t="s">
        <v>881</v>
      </c>
      <c r="F394" s="103">
        <v>33.149957999999998</v>
      </c>
      <c r="G394" s="103">
        <v>44.028884255599998</v>
      </c>
      <c r="H394" s="102">
        <v>30</v>
      </c>
      <c r="I394" s="102">
        <v>180</v>
      </c>
      <c r="J394" s="103"/>
      <c r="K394" s="103"/>
      <c r="L394" s="103"/>
      <c r="M394" s="103">
        <v>30</v>
      </c>
      <c r="N394" s="103"/>
      <c r="O394" s="103"/>
      <c r="P394" s="103"/>
      <c r="Q394" s="103"/>
      <c r="R394" s="103"/>
      <c r="S394" s="103"/>
      <c r="T394" s="103"/>
      <c r="U394" s="103"/>
      <c r="V394" s="103"/>
      <c r="W394" s="103">
        <v>30</v>
      </c>
      <c r="X394" s="103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3"/>
      <c r="AM394" s="103">
        <v>30</v>
      </c>
      <c r="AN394" s="103"/>
      <c r="AO394" s="103"/>
      <c r="AP394" s="103"/>
      <c r="AQ394" s="103"/>
      <c r="AR394" s="103"/>
      <c r="AS394" s="103"/>
      <c r="AT394" s="103"/>
      <c r="AU394" s="103"/>
      <c r="AV394" s="103"/>
      <c r="AW394" s="104" t="str">
        <f>HYPERLINK("http://www.openstreetmap.org/?mlat=33.15&amp;mlon=44.0289&amp;zoom=12#map=12/33.15/44.0289","Maplink1")</f>
        <v>Maplink1</v>
      </c>
      <c r="AX394" s="104" t="str">
        <f>HYPERLINK("https://www.google.iq/maps/search/+33.15,44.0289/@33.15,44.0289,14z?hl=en","Maplink2")</f>
        <v>Maplink2</v>
      </c>
      <c r="AY394" s="104" t="str">
        <f>HYPERLINK("http://www.bing.com/maps/?lvl=14&amp;sty=h&amp;cp=33.15~44.0289&amp;sp=point.33.15_44.0289","Maplink3")</f>
        <v>Maplink3</v>
      </c>
    </row>
    <row r="395" spans="1:51" x14ac:dyDescent="0.2">
      <c r="A395" s="102">
        <v>33225</v>
      </c>
      <c r="B395" s="103" t="s">
        <v>30</v>
      </c>
      <c r="C395" s="103" t="s">
        <v>87</v>
      </c>
      <c r="D395" s="103" t="s">
        <v>882</v>
      </c>
      <c r="E395" s="103" t="s">
        <v>883</v>
      </c>
      <c r="F395" s="103">
        <v>33.075557000000003</v>
      </c>
      <c r="G395" s="103">
        <v>44.148155609600003</v>
      </c>
      <c r="H395" s="102">
        <v>350</v>
      </c>
      <c r="I395" s="102">
        <v>2100</v>
      </c>
      <c r="J395" s="103"/>
      <c r="K395" s="103"/>
      <c r="L395" s="103"/>
      <c r="M395" s="103">
        <v>325</v>
      </c>
      <c r="N395" s="103">
        <v>25</v>
      </c>
      <c r="O395" s="103"/>
      <c r="P395" s="103"/>
      <c r="Q395" s="103"/>
      <c r="R395" s="103"/>
      <c r="S395" s="103"/>
      <c r="T395" s="103"/>
      <c r="U395" s="103"/>
      <c r="V395" s="103">
        <v>14</v>
      </c>
      <c r="W395" s="103">
        <v>331</v>
      </c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>
        <v>5</v>
      </c>
      <c r="AK395" s="103"/>
      <c r="AL395" s="103"/>
      <c r="AM395" s="103"/>
      <c r="AN395" s="103"/>
      <c r="AO395" s="103"/>
      <c r="AP395" s="103">
        <v>350</v>
      </c>
      <c r="AQ395" s="103"/>
      <c r="AR395" s="103"/>
      <c r="AS395" s="103"/>
      <c r="AT395" s="103"/>
      <c r="AU395" s="103"/>
      <c r="AV395" s="103"/>
      <c r="AW395" s="104" t="str">
        <f>HYPERLINK("http://www.openstreetmap.org/?mlat=33.0756&amp;mlon=44.1482&amp;zoom=12#map=12/33.0756/44.1482","Maplink1")</f>
        <v>Maplink1</v>
      </c>
      <c r="AX395" s="104" t="str">
        <f>HYPERLINK("https://www.google.iq/maps/search/+33.0756,44.1482/@33.0756,44.1482,14z?hl=en","Maplink2")</f>
        <v>Maplink2</v>
      </c>
      <c r="AY395" s="104" t="str">
        <f>HYPERLINK("http://www.bing.com/maps/?lvl=14&amp;sty=h&amp;cp=33.0756~44.1482&amp;sp=point.33.0756_44.1482","Maplink3")</f>
        <v>Maplink3</v>
      </c>
    </row>
    <row r="396" spans="1:51" x14ac:dyDescent="0.2">
      <c r="A396" s="102">
        <v>7685</v>
      </c>
      <c r="B396" s="103" t="s">
        <v>30</v>
      </c>
      <c r="C396" s="103" t="s">
        <v>87</v>
      </c>
      <c r="D396" s="103" t="s">
        <v>884</v>
      </c>
      <c r="E396" s="103" t="s">
        <v>885</v>
      </c>
      <c r="F396" s="103">
        <v>32.9756</v>
      </c>
      <c r="G396" s="103">
        <v>44.422051745200001</v>
      </c>
      <c r="H396" s="102">
        <v>106</v>
      </c>
      <c r="I396" s="102">
        <v>636</v>
      </c>
      <c r="J396" s="103"/>
      <c r="K396" s="103"/>
      <c r="L396" s="103"/>
      <c r="M396" s="103">
        <v>91</v>
      </c>
      <c r="N396" s="103">
        <v>15</v>
      </c>
      <c r="O396" s="103"/>
      <c r="P396" s="103"/>
      <c r="Q396" s="103"/>
      <c r="R396" s="103"/>
      <c r="S396" s="103"/>
      <c r="T396" s="103"/>
      <c r="U396" s="103"/>
      <c r="V396" s="103"/>
      <c r="W396" s="103">
        <v>106</v>
      </c>
      <c r="X396" s="103"/>
      <c r="Y396" s="103"/>
      <c r="Z396" s="103"/>
      <c r="AA396" s="103"/>
      <c r="AB396" s="103"/>
      <c r="AC396" s="103"/>
      <c r="AD396" s="103"/>
      <c r="AE396" s="103"/>
      <c r="AF396" s="103"/>
      <c r="AG396" s="103"/>
      <c r="AH396" s="103"/>
      <c r="AI396" s="103"/>
      <c r="AJ396" s="103"/>
      <c r="AK396" s="103"/>
      <c r="AL396" s="103"/>
      <c r="AM396" s="103"/>
      <c r="AN396" s="103"/>
      <c r="AO396" s="103">
        <v>106</v>
      </c>
      <c r="AP396" s="103"/>
      <c r="AQ396" s="103"/>
      <c r="AR396" s="103"/>
      <c r="AS396" s="103"/>
      <c r="AT396" s="103"/>
      <c r="AU396" s="103"/>
      <c r="AV396" s="103"/>
      <c r="AW396" s="104" t="str">
        <f>HYPERLINK("http://www.openstreetmap.org/?mlat=32.9756&amp;mlon=44.4221&amp;zoom=12#map=12/32.9756/44.4221","Maplink1")</f>
        <v>Maplink1</v>
      </c>
      <c r="AX396" s="104" t="str">
        <f>HYPERLINK("https://www.google.iq/maps/search/+32.9756,44.4221/@32.9756,44.4221,14z?hl=en","Maplink2")</f>
        <v>Maplink2</v>
      </c>
      <c r="AY396" s="104" t="str">
        <f>HYPERLINK("http://www.bing.com/maps/?lvl=14&amp;sty=h&amp;cp=32.9756~44.4221&amp;sp=point.32.9756_44.4221","Maplink3")</f>
        <v>Maplink3</v>
      </c>
    </row>
    <row r="397" spans="1:51" x14ac:dyDescent="0.2">
      <c r="A397" s="102">
        <v>29490</v>
      </c>
      <c r="B397" s="103" t="s">
        <v>30</v>
      </c>
      <c r="C397" s="103" t="s">
        <v>87</v>
      </c>
      <c r="D397" s="103" t="s">
        <v>886</v>
      </c>
      <c r="E397" s="103" t="s">
        <v>887</v>
      </c>
      <c r="F397" s="103">
        <v>32.9908</v>
      </c>
      <c r="G397" s="103">
        <v>44.316817206400003</v>
      </c>
      <c r="H397" s="102">
        <v>411</v>
      </c>
      <c r="I397" s="102">
        <v>2466</v>
      </c>
      <c r="J397" s="103"/>
      <c r="K397" s="103"/>
      <c r="L397" s="103"/>
      <c r="M397" s="103">
        <v>411</v>
      </c>
      <c r="N397" s="103"/>
      <c r="O397" s="103"/>
      <c r="P397" s="103"/>
      <c r="Q397" s="103"/>
      <c r="R397" s="103"/>
      <c r="S397" s="103"/>
      <c r="T397" s="103"/>
      <c r="U397" s="103"/>
      <c r="V397" s="103"/>
      <c r="W397" s="103">
        <v>288</v>
      </c>
      <c r="X397" s="103"/>
      <c r="Y397" s="103"/>
      <c r="Z397" s="103"/>
      <c r="AA397" s="103">
        <v>120</v>
      </c>
      <c r="AB397" s="103"/>
      <c r="AC397" s="103"/>
      <c r="AD397" s="103"/>
      <c r="AE397" s="103"/>
      <c r="AF397" s="103"/>
      <c r="AG397" s="103"/>
      <c r="AH397" s="103"/>
      <c r="AI397" s="103"/>
      <c r="AJ397" s="103">
        <v>3</v>
      </c>
      <c r="AK397" s="103"/>
      <c r="AL397" s="103"/>
      <c r="AM397" s="103"/>
      <c r="AN397" s="103"/>
      <c r="AO397" s="103">
        <v>123</v>
      </c>
      <c r="AP397" s="103">
        <v>288</v>
      </c>
      <c r="AQ397" s="103"/>
      <c r="AR397" s="103"/>
      <c r="AS397" s="103"/>
      <c r="AT397" s="103"/>
      <c r="AU397" s="103"/>
      <c r="AV397" s="103"/>
      <c r="AW397" s="104" t="str">
        <f>HYPERLINK("http://www.openstreetmap.org/?mlat=32.9908&amp;mlon=44.3168&amp;zoom=12#map=12/32.9908/44.3168","Maplink1")</f>
        <v>Maplink1</v>
      </c>
      <c r="AX397" s="104" t="str">
        <f>HYPERLINK("https://www.google.iq/maps/search/+32.9908,44.3168/@32.9908,44.3168,14z?hl=en","Maplink2")</f>
        <v>Maplink2</v>
      </c>
      <c r="AY397" s="104" t="str">
        <f>HYPERLINK("http://www.bing.com/maps/?lvl=14&amp;sty=h&amp;cp=32.9908~44.3168&amp;sp=point.32.9908_44.3168","Maplink3")</f>
        <v>Maplink3</v>
      </c>
    </row>
    <row r="398" spans="1:51" x14ac:dyDescent="0.2">
      <c r="A398" s="102">
        <v>33224</v>
      </c>
      <c r="B398" s="103" t="s">
        <v>30</v>
      </c>
      <c r="C398" s="103" t="s">
        <v>87</v>
      </c>
      <c r="D398" s="103" t="s">
        <v>888</v>
      </c>
      <c r="E398" s="103" t="s">
        <v>889</v>
      </c>
      <c r="F398" s="103">
        <v>33.089941000000003</v>
      </c>
      <c r="G398" s="103">
        <v>44.201605975</v>
      </c>
      <c r="H398" s="102">
        <v>80</v>
      </c>
      <c r="I398" s="102">
        <v>480</v>
      </c>
      <c r="J398" s="103"/>
      <c r="K398" s="103"/>
      <c r="L398" s="103"/>
      <c r="M398" s="103">
        <v>70</v>
      </c>
      <c r="N398" s="103">
        <v>10</v>
      </c>
      <c r="O398" s="103"/>
      <c r="P398" s="103"/>
      <c r="Q398" s="103"/>
      <c r="R398" s="103"/>
      <c r="S398" s="103"/>
      <c r="T398" s="103"/>
      <c r="U398" s="103"/>
      <c r="V398" s="103"/>
      <c r="W398" s="103">
        <v>80</v>
      </c>
      <c r="X398" s="103"/>
      <c r="Y398" s="103"/>
      <c r="Z398" s="103"/>
      <c r="AA398" s="103"/>
      <c r="AB398" s="103"/>
      <c r="AC398" s="103"/>
      <c r="AD398" s="103"/>
      <c r="AE398" s="103"/>
      <c r="AF398" s="103"/>
      <c r="AG398" s="103"/>
      <c r="AH398" s="103"/>
      <c r="AI398" s="103"/>
      <c r="AJ398" s="103"/>
      <c r="AK398" s="103"/>
      <c r="AL398" s="103"/>
      <c r="AM398" s="103"/>
      <c r="AN398" s="103"/>
      <c r="AO398" s="103"/>
      <c r="AP398" s="103">
        <v>80</v>
      </c>
      <c r="AQ398" s="103"/>
      <c r="AR398" s="103"/>
      <c r="AS398" s="103"/>
      <c r="AT398" s="103"/>
      <c r="AU398" s="103"/>
      <c r="AV398" s="103"/>
      <c r="AW398" s="104" t="str">
        <f>HYPERLINK("http://www.openstreetmap.org/?mlat=33.0899&amp;mlon=44.2016&amp;zoom=12#map=12/33.0899/44.2016","Maplink1")</f>
        <v>Maplink1</v>
      </c>
      <c r="AX398" s="104" t="str">
        <f>HYPERLINK("https://www.google.iq/maps/search/+33.0899,44.2016/@33.0899,44.2016,14z?hl=en","Maplink2")</f>
        <v>Maplink2</v>
      </c>
      <c r="AY398" s="104" t="str">
        <f>HYPERLINK("http://www.bing.com/maps/?lvl=14&amp;sty=h&amp;cp=33.0899~44.2016&amp;sp=point.33.0899_44.2016","Maplink3")</f>
        <v>Maplink3</v>
      </c>
    </row>
    <row r="399" spans="1:51" x14ac:dyDescent="0.2">
      <c r="A399" s="102">
        <v>29528</v>
      </c>
      <c r="B399" s="103" t="s">
        <v>30</v>
      </c>
      <c r="C399" s="103" t="s">
        <v>87</v>
      </c>
      <c r="D399" s="103" t="s">
        <v>838</v>
      </c>
      <c r="E399" s="103" t="s">
        <v>839</v>
      </c>
      <c r="F399" s="103">
        <v>33.050910999999999</v>
      </c>
      <c r="G399" s="103">
        <v>44.205093580000003</v>
      </c>
      <c r="H399" s="102">
        <v>210</v>
      </c>
      <c r="I399" s="102">
        <v>1260</v>
      </c>
      <c r="J399" s="103"/>
      <c r="K399" s="103"/>
      <c r="L399" s="103"/>
      <c r="M399" s="103">
        <v>200</v>
      </c>
      <c r="N399" s="103">
        <v>10</v>
      </c>
      <c r="O399" s="103"/>
      <c r="P399" s="103"/>
      <c r="Q399" s="103"/>
      <c r="R399" s="103"/>
      <c r="S399" s="103"/>
      <c r="T399" s="103"/>
      <c r="U399" s="103"/>
      <c r="V399" s="103"/>
      <c r="W399" s="103">
        <v>210</v>
      </c>
      <c r="X399" s="103"/>
      <c r="Y399" s="103"/>
      <c r="Z399" s="103"/>
      <c r="AA399" s="103"/>
      <c r="AB399" s="103"/>
      <c r="AC399" s="103"/>
      <c r="AD399" s="103"/>
      <c r="AE399" s="103"/>
      <c r="AF399" s="103"/>
      <c r="AG399" s="103"/>
      <c r="AH399" s="103"/>
      <c r="AI399" s="103"/>
      <c r="AJ399" s="103"/>
      <c r="AK399" s="103"/>
      <c r="AL399" s="103"/>
      <c r="AM399" s="103"/>
      <c r="AN399" s="103"/>
      <c r="AO399" s="103">
        <v>28</v>
      </c>
      <c r="AP399" s="103">
        <v>182</v>
      </c>
      <c r="AQ399" s="103"/>
      <c r="AR399" s="103"/>
      <c r="AS399" s="103"/>
      <c r="AT399" s="103"/>
      <c r="AU399" s="103"/>
      <c r="AV399" s="103"/>
      <c r="AW399" s="104" t="str">
        <f>HYPERLINK("http://www.openstreetmap.org/?mlat=33.0509&amp;mlon=44.2051&amp;zoom=12#map=12/33.0509/44.2051","Maplink1")</f>
        <v>Maplink1</v>
      </c>
      <c r="AX399" s="104" t="str">
        <f>HYPERLINK("https://www.google.iq/maps/search/+33.0509,44.2051/@33.0509,44.2051,14z?hl=en","Maplink2")</f>
        <v>Maplink2</v>
      </c>
      <c r="AY399" s="104" t="str">
        <f>HYPERLINK("http://www.bing.com/maps/?lvl=14&amp;sty=h&amp;cp=33.0509~44.2051&amp;sp=point.33.0509_44.2051","Maplink3")</f>
        <v>Maplink3</v>
      </c>
    </row>
    <row r="400" spans="1:51" x14ac:dyDescent="0.2">
      <c r="A400" s="102">
        <v>32064</v>
      </c>
      <c r="B400" s="103" t="s">
        <v>30</v>
      </c>
      <c r="C400" s="103" t="s">
        <v>87</v>
      </c>
      <c r="D400" s="103" t="s">
        <v>840</v>
      </c>
      <c r="E400" s="103" t="s">
        <v>841</v>
      </c>
      <c r="F400" s="103">
        <v>33.169396999999996</v>
      </c>
      <c r="G400" s="103">
        <v>44.034630518199997</v>
      </c>
      <c r="H400" s="102">
        <v>20</v>
      </c>
      <c r="I400" s="102">
        <v>120</v>
      </c>
      <c r="J400" s="103"/>
      <c r="K400" s="103"/>
      <c r="L400" s="103"/>
      <c r="M400" s="103">
        <v>18</v>
      </c>
      <c r="N400" s="103">
        <v>2</v>
      </c>
      <c r="O400" s="103"/>
      <c r="P400" s="103"/>
      <c r="Q400" s="103"/>
      <c r="R400" s="103"/>
      <c r="S400" s="103"/>
      <c r="T400" s="103"/>
      <c r="U400" s="103"/>
      <c r="V400" s="103"/>
      <c r="W400" s="103">
        <v>20</v>
      </c>
      <c r="X400" s="103"/>
      <c r="Y400" s="103"/>
      <c r="Z400" s="103"/>
      <c r="AA400" s="103"/>
      <c r="AB400" s="103"/>
      <c r="AC400" s="103"/>
      <c r="AD400" s="103"/>
      <c r="AE400" s="103"/>
      <c r="AF400" s="103"/>
      <c r="AG400" s="103"/>
      <c r="AH400" s="103"/>
      <c r="AI400" s="103"/>
      <c r="AJ400" s="103"/>
      <c r="AK400" s="103"/>
      <c r="AL400" s="103"/>
      <c r="AM400" s="103">
        <v>20</v>
      </c>
      <c r="AN400" s="103"/>
      <c r="AO400" s="103"/>
      <c r="AP400" s="103"/>
      <c r="AQ400" s="103"/>
      <c r="AR400" s="103"/>
      <c r="AS400" s="103"/>
      <c r="AT400" s="103"/>
      <c r="AU400" s="103"/>
      <c r="AV400" s="103"/>
      <c r="AW400" s="104" t="str">
        <f>HYPERLINK("http://www.openstreetmap.org/?mlat=33.1694&amp;mlon=44.0346&amp;zoom=12#map=12/33.1694/44.0346","Maplink1")</f>
        <v>Maplink1</v>
      </c>
      <c r="AX400" s="104" t="str">
        <f>HYPERLINK("https://www.google.iq/maps/search/+33.1694,44.0346/@33.1694,44.0346,14z?hl=en","Maplink2")</f>
        <v>Maplink2</v>
      </c>
      <c r="AY400" s="104" t="str">
        <f>HYPERLINK("http://www.bing.com/maps/?lvl=14&amp;sty=h&amp;cp=33.1694~44.0346&amp;sp=point.33.1694_44.0346","Maplink3")</f>
        <v>Maplink3</v>
      </c>
    </row>
    <row r="401" spans="1:51" x14ac:dyDescent="0.2">
      <c r="A401" s="102">
        <v>29492</v>
      </c>
      <c r="B401" s="103" t="s">
        <v>30</v>
      </c>
      <c r="C401" s="103" t="s">
        <v>87</v>
      </c>
      <c r="D401" s="103" t="s">
        <v>856</v>
      </c>
      <c r="E401" s="103" t="s">
        <v>857</v>
      </c>
      <c r="F401" s="103">
        <v>33.030382029999998</v>
      </c>
      <c r="G401" s="103">
        <v>44.206672989399998</v>
      </c>
      <c r="H401" s="102">
        <v>33</v>
      </c>
      <c r="I401" s="102">
        <v>198</v>
      </c>
      <c r="J401" s="103"/>
      <c r="K401" s="103"/>
      <c r="L401" s="103"/>
      <c r="M401" s="103">
        <v>33</v>
      </c>
      <c r="N401" s="103"/>
      <c r="O401" s="103"/>
      <c r="P401" s="103"/>
      <c r="Q401" s="103"/>
      <c r="R401" s="103"/>
      <c r="S401" s="103"/>
      <c r="T401" s="103"/>
      <c r="U401" s="103"/>
      <c r="V401" s="103"/>
      <c r="W401" s="103">
        <v>33</v>
      </c>
      <c r="X401" s="103"/>
      <c r="Y401" s="103"/>
      <c r="Z401" s="103"/>
      <c r="AA401" s="103"/>
      <c r="AB401" s="103"/>
      <c r="AC401" s="103"/>
      <c r="AD401" s="103"/>
      <c r="AE401" s="103"/>
      <c r="AF401" s="103"/>
      <c r="AG401" s="103"/>
      <c r="AH401" s="103"/>
      <c r="AI401" s="103"/>
      <c r="AJ401" s="103"/>
      <c r="AK401" s="103"/>
      <c r="AL401" s="103"/>
      <c r="AM401" s="103"/>
      <c r="AN401" s="103"/>
      <c r="AO401" s="103"/>
      <c r="AP401" s="103">
        <v>33</v>
      </c>
      <c r="AQ401" s="103"/>
      <c r="AR401" s="103"/>
      <c r="AS401" s="103"/>
      <c r="AT401" s="103"/>
      <c r="AU401" s="103"/>
      <c r="AV401" s="103"/>
      <c r="AW401" s="104" t="str">
        <f>HYPERLINK("http://www.openstreetmap.org/?mlat=33.0304&amp;mlon=44.2067&amp;zoom=12#map=12/33.0304/44.2067","Maplink1")</f>
        <v>Maplink1</v>
      </c>
      <c r="AX401" s="104" t="str">
        <f>HYPERLINK("https://www.google.iq/maps/search/+33.0304,44.2067/@33.0304,44.2067,14z?hl=en","Maplink2")</f>
        <v>Maplink2</v>
      </c>
      <c r="AY401" s="104" t="str">
        <f>HYPERLINK("http://www.bing.com/maps/?lvl=14&amp;sty=h&amp;cp=33.0304~44.2067&amp;sp=point.33.0304_44.2067","Maplink3")</f>
        <v>Maplink3</v>
      </c>
    </row>
    <row r="402" spans="1:51" x14ac:dyDescent="0.2">
      <c r="A402" s="102">
        <v>22382</v>
      </c>
      <c r="B402" s="103" t="s">
        <v>30</v>
      </c>
      <c r="C402" s="103" t="s">
        <v>87</v>
      </c>
      <c r="D402" s="103" t="s">
        <v>906</v>
      </c>
      <c r="E402" s="103" t="s">
        <v>907</v>
      </c>
      <c r="F402" s="103">
        <v>33.039753730000001</v>
      </c>
      <c r="G402" s="103">
        <v>44.160860722000002</v>
      </c>
      <c r="H402" s="102">
        <v>210</v>
      </c>
      <c r="I402" s="102">
        <v>1260</v>
      </c>
      <c r="J402" s="103"/>
      <c r="K402" s="103"/>
      <c r="L402" s="103"/>
      <c r="M402" s="103">
        <v>200</v>
      </c>
      <c r="N402" s="103">
        <v>10</v>
      </c>
      <c r="O402" s="103"/>
      <c r="P402" s="103"/>
      <c r="Q402" s="103"/>
      <c r="R402" s="103"/>
      <c r="S402" s="103"/>
      <c r="T402" s="103"/>
      <c r="U402" s="103"/>
      <c r="V402" s="103"/>
      <c r="W402" s="103">
        <v>210</v>
      </c>
      <c r="X402" s="103"/>
      <c r="Y402" s="103"/>
      <c r="Z402" s="103"/>
      <c r="AA402" s="103"/>
      <c r="AB402" s="103"/>
      <c r="AC402" s="103"/>
      <c r="AD402" s="103"/>
      <c r="AE402" s="103"/>
      <c r="AF402" s="103"/>
      <c r="AG402" s="103"/>
      <c r="AH402" s="103"/>
      <c r="AI402" s="103"/>
      <c r="AJ402" s="103"/>
      <c r="AK402" s="103"/>
      <c r="AL402" s="103"/>
      <c r="AM402" s="103"/>
      <c r="AN402" s="103"/>
      <c r="AO402" s="103"/>
      <c r="AP402" s="103">
        <v>210</v>
      </c>
      <c r="AQ402" s="103"/>
      <c r="AR402" s="103"/>
      <c r="AS402" s="103"/>
      <c r="AT402" s="103"/>
      <c r="AU402" s="103"/>
      <c r="AV402" s="103"/>
      <c r="AW402" s="104" t="str">
        <f>HYPERLINK("http://www.openstreetmap.org/?mlat=33.0398&amp;mlon=44.1609&amp;zoom=12#map=12/33.0398/44.1609","Maplink1")</f>
        <v>Maplink1</v>
      </c>
      <c r="AX402" s="104" t="str">
        <f>HYPERLINK("https://www.google.iq/maps/search/+33.0398,44.1609/@33.0398,44.1609,14z?hl=en","Maplink2")</f>
        <v>Maplink2</v>
      </c>
      <c r="AY402" s="104" t="str">
        <f>HYPERLINK("http://www.bing.com/maps/?lvl=14&amp;sty=h&amp;cp=33.0398~44.1609&amp;sp=point.33.0398_44.1609","Maplink3")</f>
        <v>Maplink3</v>
      </c>
    </row>
    <row r="403" spans="1:51" x14ac:dyDescent="0.2">
      <c r="A403" s="102">
        <v>33110</v>
      </c>
      <c r="B403" s="103" t="s">
        <v>30</v>
      </c>
      <c r="C403" s="103" t="s">
        <v>87</v>
      </c>
      <c r="D403" s="103" t="s">
        <v>908</v>
      </c>
      <c r="E403" s="103" t="s">
        <v>909</v>
      </c>
      <c r="F403" s="103">
        <v>33.025292</v>
      </c>
      <c r="G403" s="103">
        <v>44.137095161200001</v>
      </c>
      <c r="H403" s="102">
        <v>300</v>
      </c>
      <c r="I403" s="102">
        <v>1800</v>
      </c>
      <c r="J403" s="103"/>
      <c r="K403" s="103"/>
      <c r="L403" s="103"/>
      <c r="M403" s="103">
        <v>290</v>
      </c>
      <c r="N403" s="103">
        <v>10</v>
      </c>
      <c r="O403" s="103"/>
      <c r="P403" s="103"/>
      <c r="Q403" s="103"/>
      <c r="R403" s="103"/>
      <c r="S403" s="103"/>
      <c r="T403" s="103"/>
      <c r="U403" s="103"/>
      <c r="V403" s="103">
        <v>60</v>
      </c>
      <c r="W403" s="103">
        <v>240</v>
      </c>
      <c r="X403" s="103"/>
      <c r="Y403" s="103"/>
      <c r="Z403" s="103"/>
      <c r="AA403" s="103"/>
      <c r="AB403" s="103"/>
      <c r="AC403" s="103"/>
      <c r="AD403" s="103"/>
      <c r="AE403" s="103"/>
      <c r="AF403" s="103"/>
      <c r="AG403" s="103"/>
      <c r="AH403" s="103"/>
      <c r="AI403" s="103"/>
      <c r="AJ403" s="103"/>
      <c r="AK403" s="103"/>
      <c r="AL403" s="103"/>
      <c r="AM403" s="103">
        <v>300</v>
      </c>
      <c r="AN403" s="103"/>
      <c r="AO403" s="103"/>
      <c r="AP403" s="103"/>
      <c r="AQ403" s="103"/>
      <c r="AR403" s="103"/>
      <c r="AS403" s="103"/>
      <c r="AT403" s="103"/>
      <c r="AU403" s="103"/>
      <c r="AV403" s="103"/>
      <c r="AW403" s="104" t="str">
        <f>HYPERLINK("http://www.openstreetmap.org/?mlat=33.0253&amp;mlon=44.1371&amp;zoom=12#map=12/33.0253/44.1371","Maplink1")</f>
        <v>Maplink1</v>
      </c>
      <c r="AX403" s="104" t="str">
        <f>HYPERLINK("https://www.google.iq/maps/search/+33.0253,44.1371/@33.0253,44.1371,14z?hl=en","Maplink2")</f>
        <v>Maplink2</v>
      </c>
      <c r="AY403" s="104" t="str">
        <f>HYPERLINK("http://www.bing.com/maps/?lvl=14&amp;sty=h&amp;cp=33.0253~44.1371&amp;sp=point.33.0253_44.1371","Maplink3")</f>
        <v>Maplink3</v>
      </c>
    </row>
    <row r="404" spans="1:51" x14ac:dyDescent="0.2">
      <c r="A404" s="102">
        <v>32063</v>
      </c>
      <c r="B404" s="103" t="s">
        <v>30</v>
      </c>
      <c r="C404" s="103" t="s">
        <v>87</v>
      </c>
      <c r="D404" s="103" t="s">
        <v>916</v>
      </c>
      <c r="E404" s="103" t="s">
        <v>917</v>
      </c>
      <c r="F404" s="103">
        <v>33.169395000000002</v>
      </c>
      <c r="G404" s="103">
        <v>44.034572670599999</v>
      </c>
      <c r="H404" s="102">
        <v>50</v>
      </c>
      <c r="I404" s="102">
        <v>300</v>
      </c>
      <c r="J404" s="103"/>
      <c r="K404" s="103"/>
      <c r="L404" s="103"/>
      <c r="M404" s="103">
        <v>40</v>
      </c>
      <c r="N404" s="103">
        <v>10</v>
      </c>
      <c r="O404" s="103"/>
      <c r="P404" s="103"/>
      <c r="Q404" s="103"/>
      <c r="R404" s="103"/>
      <c r="S404" s="103"/>
      <c r="T404" s="103"/>
      <c r="U404" s="103"/>
      <c r="V404" s="103"/>
      <c r="W404" s="103">
        <v>50</v>
      </c>
      <c r="X404" s="103"/>
      <c r="Y404" s="103"/>
      <c r="Z404" s="103"/>
      <c r="AA404" s="103"/>
      <c r="AB404" s="103"/>
      <c r="AC404" s="103"/>
      <c r="AD404" s="103"/>
      <c r="AE404" s="103"/>
      <c r="AF404" s="103"/>
      <c r="AG404" s="103"/>
      <c r="AH404" s="103"/>
      <c r="AI404" s="103"/>
      <c r="AJ404" s="103"/>
      <c r="AK404" s="103"/>
      <c r="AL404" s="103"/>
      <c r="AM404" s="103"/>
      <c r="AN404" s="103"/>
      <c r="AO404" s="103"/>
      <c r="AP404" s="103">
        <v>50</v>
      </c>
      <c r="AQ404" s="103"/>
      <c r="AR404" s="103"/>
      <c r="AS404" s="103"/>
      <c r="AT404" s="103"/>
      <c r="AU404" s="103"/>
      <c r="AV404" s="103"/>
      <c r="AW404" s="104" t="str">
        <f>HYPERLINK("http://www.openstreetmap.org/?mlat=33.1694&amp;mlon=44.0346&amp;zoom=12#map=12/33.1694/44.0346","Maplink1")</f>
        <v>Maplink1</v>
      </c>
      <c r="AX404" s="104" t="str">
        <f>HYPERLINK("https://www.google.iq/maps/search/+33.1694,44.0346/@33.1694,44.0346,14z?hl=en","Maplink2")</f>
        <v>Maplink2</v>
      </c>
      <c r="AY404" s="104" t="str">
        <f>HYPERLINK("http://www.bing.com/maps/?lvl=14&amp;sty=h&amp;cp=33.1694~44.0346&amp;sp=point.33.1694_44.0346","Maplink3")</f>
        <v>Maplink3</v>
      </c>
    </row>
    <row r="405" spans="1:51" x14ac:dyDescent="0.2">
      <c r="A405" s="102">
        <v>7350</v>
      </c>
      <c r="B405" s="103" t="s">
        <v>30</v>
      </c>
      <c r="C405" s="103" t="s">
        <v>87</v>
      </c>
      <c r="D405" s="103" t="s">
        <v>918</v>
      </c>
      <c r="E405" s="103" t="s">
        <v>919</v>
      </c>
      <c r="F405" s="103">
        <v>33.029121410000002</v>
      </c>
      <c r="G405" s="103">
        <v>44.171548057499997</v>
      </c>
      <c r="H405" s="102">
        <v>400</v>
      </c>
      <c r="I405" s="102">
        <v>2400</v>
      </c>
      <c r="J405" s="103"/>
      <c r="K405" s="103"/>
      <c r="L405" s="103"/>
      <c r="M405" s="103">
        <v>385</v>
      </c>
      <c r="N405" s="103">
        <v>15</v>
      </c>
      <c r="O405" s="103"/>
      <c r="P405" s="103"/>
      <c r="Q405" s="103"/>
      <c r="R405" s="103"/>
      <c r="S405" s="103"/>
      <c r="T405" s="103"/>
      <c r="U405" s="103"/>
      <c r="V405" s="103">
        <v>55</v>
      </c>
      <c r="W405" s="103">
        <v>345</v>
      </c>
      <c r="X405" s="103"/>
      <c r="Y405" s="103"/>
      <c r="Z405" s="103"/>
      <c r="AA405" s="103"/>
      <c r="AB405" s="103"/>
      <c r="AC405" s="103"/>
      <c r="AD405" s="103"/>
      <c r="AE405" s="103"/>
      <c r="AF405" s="103"/>
      <c r="AG405" s="103"/>
      <c r="AH405" s="103"/>
      <c r="AI405" s="103"/>
      <c r="AJ405" s="103"/>
      <c r="AK405" s="103"/>
      <c r="AL405" s="103"/>
      <c r="AM405" s="103">
        <v>400</v>
      </c>
      <c r="AN405" s="103"/>
      <c r="AO405" s="103"/>
      <c r="AP405" s="103"/>
      <c r="AQ405" s="103"/>
      <c r="AR405" s="103"/>
      <c r="AS405" s="103"/>
      <c r="AT405" s="103"/>
      <c r="AU405" s="103"/>
      <c r="AV405" s="103"/>
      <c r="AW405" s="104" t="str">
        <f>HYPERLINK("http://www.openstreetmap.org/?mlat=33.0291&amp;mlon=44.1715&amp;zoom=12#map=12/33.0291/44.1715","Maplink1")</f>
        <v>Maplink1</v>
      </c>
      <c r="AX405" s="104" t="str">
        <f>HYPERLINK("https://www.google.iq/maps/search/+33.0291,44.1715/@33.0291,44.1715,14z?hl=en","Maplink2")</f>
        <v>Maplink2</v>
      </c>
      <c r="AY405" s="104" t="str">
        <f>HYPERLINK("http://www.bing.com/maps/?lvl=14&amp;sty=h&amp;cp=33.0291~44.1715&amp;sp=point.33.0291_44.1715","Maplink3")</f>
        <v>Maplink3</v>
      </c>
    </row>
    <row r="406" spans="1:51" x14ac:dyDescent="0.2">
      <c r="A406" s="102">
        <v>33168</v>
      </c>
      <c r="B406" s="103" t="s">
        <v>30</v>
      </c>
      <c r="C406" s="103" t="s">
        <v>87</v>
      </c>
      <c r="D406" s="103" t="s">
        <v>920</v>
      </c>
      <c r="E406" s="103" t="s">
        <v>921</v>
      </c>
      <c r="F406" s="103">
        <v>33.034388</v>
      </c>
      <c r="G406" s="103">
        <v>44.180004770099998</v>
      </c>
      <c r="H406" s="102">
        <v>270</v>
      </c>
      <c r="I406" s="102">
        <v>1620</v>
      </c>
      <c r="J406" s="103"/>
      <c r="K406" s="103"/>
      <c r="L406" s="103"/>
      <c r="M406" s="103">
        <v>235</v>
      </c>
      <c r="N406" s="103">
        <v>35</v>
      </c>
      <c r="O406" s="103"/>
      <c r="P406" s="103"/>
      <c r="Q406" s="103"/>
      <c r="R406" s="103"/>
      <c r="S406" s="103"/>
      <c r="T406" s="103"/>
      <c r="U406" s="103"/>
      <c r="V406" s="103"/>
      <c r="W406" s="103">
        <v>240</v>
      </c>
      <c r="X406" s="103"/>
      <c r="Y406" s="103"/>
      <c r="Z406" s="103"/>
      <c r="AA406" s="103">
        <v>30</v>
      </c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3"/>
      <c r="AM406" s="103">
        <v>270</v>
      </c>
      <c r="AN406" s="103"/>
      <c r="AO406" s="103"/>
      <c r="AP406" s="103"/>
      <c r="AQ406" s="103"/>
      <c r="AR406" s="103"/>
      <c r="AS406" s="103"/>
      <c r="AT406" s="103"/>
      <c r="AU406" s="103"/>
      <c r="AV406" s="103"/>
      <c r="AW406" s="104" t="str">
        <f>HYPERLINK("http://www.openstreetmap.org/?mlat=33.0344&amp;mlon=44.18&amp;zoom=12#map=12/33.0344/44.18","Maplink1")</f>
        <v>Maplink1</v>
      </c>
      <c r="AX406" s="104" t="str">
        <f>HYPERLINK("https://www.google.iq/maps/search/+33.0344,44.18/@33.0344,44.18,14z?hl=en","Maplink2")</f>
        <v>Maplink2</v>
      </c>
      <c r="AY406" s="104" t="str">
        <f>HYPERLINK("http://www.bing.com/maps/?lvl=14&amp;sty=h&amp;cp=33.0344~44.18&amp;sp=point.33.0344_44.18","Maplink3")</f>
        <v>Maplink3</v>
      </c>
    </row>
    <row r="407" spans="1:51" x14ac:dyDescent="0.2">
      <c r="A407" s="102">
        <v>33103</v>
      </c>
      <c r="B407" s="103" t="s">
        <v>30</v>
      </c>
      <c r="C407" s="103" t="s">
        <v>87</v>
      </c>
      <c r="D407" s="103" t="s">
        <v>872</v>
      </c>
      <c r="E407" s="103" t="s">
        <v>873</v>
      </c>
      <c r="F407" s="103">
        <v>33.089934</v>
      </c>
      <c r="G407" s="103">
        <v>44.249702142700002</v>
      </c>
      <c r="H407" s="102">
        <v>75</v>
      </c>
      <c r="I407" s="102">
        <v>450</v>
      </c>
      <c r="J407" s="103"/>
      <c r="K407" s="103"/>
      <c r="L407" s="103"/>
      <c r="M407" s="103">
        <v>37</v>
      </c>
      <c r="N407" s="103">
        <v>38</v>
      </c>
      <c r="O407" s="103"/>
      <c r="P407" s="103"/>
      <c r="Q407" s="103"/>
      <c r="R407" s="103"/>
      <c r="S407" s="103"/>
      <c r="T407" s="103"/>
      <c r="U407" s="103"/>
      <c r="V407" s="103"/>
      <c r="W407" s="103">
        <v>75</v>
      </c>
      <c r="X407" s="103"/>
      <c r="Y407" s="103"/>
      <c r="Z407" s="103"/>
      <c r="AA407" s="103"/>
      <c r="AB407" s="103"/>
      <c r="AC407" s="103"/>
      <c r="AD407" s="103"/>
      <c r="AE407" s="103"/>
      <c r="AF407" s="103"/>
      <c r="AG407" s="103"/>
      <c r="AH407" s="103"/>
      <c r="AI407" s="103"/>
      <c r="AJ407" s="103"/>
      <c r="AK407" s="103"/>
      <c r="AL407" s="103"/>
      <c r="AM407" s="103"/>
      <c r="AN407" s="103"/>
      <c r="AO407" s="103"/>
      <c r="AP407" s="103">
        <v>75</v>
      </c>
      <c r="AQ407" s="103"/>
      <c r="AR407" s="103"/>
      <c r="AS407" s="103"/>
      <c r="AT407" s="103"/>
      <c r="AU407" s="103"/>
      <c r="AV407" s="103"/>
      <c r="AW407" s="104" t="str">
        <f>HYPERLINK("http://www.openstreetmap.org/?mlat=33.0899&amp;mlon=44.2497&amp;zoom=12#map=12/33.0899/44.2497","Maplink1")</f>
        <v>Maplink1</v>
      </c>
      <c r="AX407" s="104" t="str">
        <f>HYPERLINK("https://www.google.iq/maps/search/+33.0899,44.2497/@33.0899,44.2497,14z?hl=en","Maplink2")</f>
        <v>Maplink2</v>
      </c>
      <c r="AY407" s="104" t="str">
        <f>HYPERLINK("http://www.bing.com/maps/?lvl=14&amp;sty=h&amp;cp=33.0899~44.2497&amp;sp=point.33.0899_44.2497","Maplink3")</f>
        <v>Maplink3</v>
      </c>
    </row>
    <row r="408" spans="1:51" x14ac:dyDescent="0.2">
      <c r="A408" s="102">
        <v>29526</v>
      </c>
      <c r="B408" s="103" t="s">
        <v>30</v>
      </c>
      <c r="C408" s="103" t="s">
        <v>87</v>
      </c>
      <c r="D408" s="103" t="s">
        <v>868</v>
      </c>
      <c r="E408" s="103" t="s">
        <v>869</v>
      </c>
      <c r="F408" s="103">
        <v>33.029121521199997</v>
      </c>
      <c r="G408" s="103">
        <v>44.218598650700002</v>
      </c>
      <c r="H408" s="102">
        <v>150</v>
      </c>
      <c r="I408" s="102">
        <v>900</v>
      </c>
      <c r="J408" s="103"/>
      <c r="K408" s="103"/>
      <c r="L408" s="103"/>
      <c r="M408" s="103">
        <v>131</v>
      </c>
      <c r="N408" s="103">
        <v>19</v>
      </c>
      <c r="O408" s="103"/>
      <c r="P408" s="103"/>
      <c r="Q408" s="103"/>
      <c r="R408" s="103"/>
      <c r="S408" s="103"/>
      <c r="T408" s="103"/>
      <c r="U408" s="103"/>
      <c r="V408" s="103">
        <v>44</v>
      </c>
      <c r="W408" s="103">
        <v>98</v>
      </c>
      <c r="X408" s="103"/>
      <c r="Y408" s="103"/>
      <c r="Z408" s="103"/>
      <c r="AA408" s="103">
        <v>8</v>
      </c>
      <c r="AB408" s="103"/>
      <c r="AC408" s="103"/>
      <c r="AD408" s="103"/>
      <c r="AE408" s="103"/>
      <c r="AF408" s="103"/>
      <c r="AG408" s="103"/>
      <c r="AH408" s="103"/>
      <c r="AI408" s="103"/>
      <c r="AJ408" s="103"/>
      <c r="AK408" s="103"/>
      <c r="AL408" s="103"/>
      <c r="AM408" s="103"/>
      <c r="AN408" s="103"/>
      <c r="AO408" s="103">
        <v>48</v>
      </c>
      <c r="AP408" s="103">
        <v>102</v>
      </c>
      <c r="AQ408" s="103"/>
      <c r="AR408" s="103"/>
      <c r="AS408" s="103"/>
      <c r="AT408" s="103"/>
      <c r="AU408" s="103"/>
      <c r="AV408" s="103"/>
      <c r="AW408" s="104" t="str">
        <f>HYPERLINK("http://www.openstreetmap.org/?mlat=33.0291&amp;mlon=44.2186&amp;zoom=12#map=12/33.0291/44.2186","Maplink1")</f>
        <v>Maplink1</v>
      </c>
      <c r="AX408" s="104" t="str">
        <f>HYPERLINK("https://www.google.iq/maps/search/+33.0291,44.2186/@33.0291,44.2186,14z?hl=en","Maplink2")</f>
        <v>Maplink2</v>
      </c>
      <c r="AY408" s="104" t="str">
        <f>HYPERLINK("http://www.bing.com/maps/?lvl=14&amp;sty=h&amp;cp=33.0291~44.2186&amp;sp=point.33.0291_44.2186","Maplink3")</f>
        <v>Maplink3</v>
      </c>
    </row>
    <row r="409" spans="1:51" x14ac:dyDescent="0.2">
      <c r="A409" s="102">
        <v>33259</v>
      </c>
      <c r="B409" s="103" t="s">
        <v>30</v>
      </c>
      <c r="C409" s="103" t="s">
        <v>87</v>
      </c>
      <c r="D409" s="103" t="s">
        <v>870</v>
      </c>
      <c r="E409" s="103" t="s">
        <v>871</v>
      </c>
      <c r="F409" s="103">
        <v>33.013654000000002</v>
      </c>
      <c r="G409" s="103">
        <v>44.319470944099997</v>
      </c>
      <c r="H409" s="102">
        <v>110</v>
      </c>
      <c r="I409" s="102">
        <v>660</v>
      </c>
      <c r="J409" s="103">
        <v>6</v>
      </c>
      <c r="K409" s="103"/>
      <c r="L409" s="103"/>
      <c r="M409" s="103">
        <v>70</v>
      </c>
      <c r="N409" s="103">
        <v>34</v>
      </c>
      <c r="O409" s="103"/>
      <c r="P409" s="103"/>
      <c r="Q409" s="103"/>
      <c r="R409" s="103"/>
      <c r="S409" s="103"/>
      <c r="T409" s="103"/>
      <c r="U409" s="103"/>
      <c r="V409" s="103">
        <v>15</v>
      </c>
      <c r="W409" s="103">
        <v>65</v>
      </c>
      <c r="X409" s="103"/>
      <c r="Y409" s="103"/>
      <c r="Z409" s="103"/>
      <c r="AA409" s="103">
        <v>16</v>
      </c>
      <c r="AB409" s="103"/>
      <c r="AC409" s="103"/>
      <c r="AD409" s="103"/>
      <c r="AE409" s="103"/>
      <c r="AF409" s="103"/>
      <c r="AG409" s="103"/>
      <c r="AH409" s="103"/>
      <c r="AI409" s="103"/>
      <c r="AJ409" s="103">
        <v>14</v>
      </c>
      <c r="AK409" s="103"/>
      <c r="AL409" s="103"/>
      <c r="AM409" s="103"/>
      <c r="AN409" s="103"/>
      <c r="AO409" s="103">
        <v>57</v>
      </c>
      <c r="AP409" s="103">
        <v>53</v>
      </c>
      <c r="AQ409" s="103"/>
      <c r="AR409" s="103"/>
      <c r="AS409" s="103"/>
      <c r="AT409" s="103"/>
      <c r="AU409" s="103"/>
      <c r="AV409" s="103"/>
      <c r="AW409" s="104" t="str">
        <f>HYPERLINK("http://www.openstreetmap.org/?mlat=33.0137&amp;mlon=44.3195&amp;zoom=12#map=12/33.0137/44.3195","Maplink1")</f>
        <v>Maplink1</v>
      </c>
      <c r="AX409" s="104" t="str">
        <f>HYPERLINK("https://www.google.iq/maps/search/+33.0137,44.3195/@33.0137,44.3195,14z?hl=en","Maplink2")</f>
        <v>Maplink2</v>
      </c>
      <c r="AY409" s="104" t="str">
        <f>HYPERLINK("http://www.bing.com/maps/?lvl=14&amp;sty=h&amp;cp=33.0137~44.3195&amp;sp=point.33.0137_44.3195","Maplink3")</f>
        <v>Maplink3</v>
      </c>
    </row>
    <row r="410" spans="1:51" x14ac:dyDescent="0.2">
      <c r="A410" s="102">
        <v>29524</v>
      </c>
      <c r="B410" s="103" t="s">
        <v>30</v>
      </c>
      <c r="C410" s="103" t="s">
        <v>87</v>
      </c>
      <c r="D410" s="103" t="s">
        <v>910</v>
      </c>
      <c r="E410" s="103" t="s">
        <v>911</v>
      </c>
      <c r="F410" s="103">
        <v>33.035922742399997</v>
      </c>
      <c r="G410" s="103">
        <v>44.180160138399998</v>
      </c>
      <c r="H410" s="102">
        <v>75</v>
      </c>
      <c r="I410" s="102">
        <v>450</v>
      </c>
      <c r="J410" s="103"/>
      <c r="K410" s="103"/>
      <c r="L410" s="103"/>
      <c r="M410" s="103">
        <v>61</v>
      </c>
      <c r="N410" s="103">
        <v>14</v>
      </c>
      <c r="O410" s="103"/>
      <c r="P410" s="103"/>
      <c r="Q410" s="103"/>
      <c r="R410" s="103"/>
      <c r="S410" s="103"/>
      <c r="T410" s="103"/>
      <c r="U410" s="103"/>
      <c r="V410" s="103"/>
      <c r="W410" s="103">
        <v>65</v>
      </c>
      <c r="X410" s="103"/>
      <c r="Y410" s="103"/>
      <c r="Z410" s="103"/>
      <c r="AA410" s="103">
        <v>10</v>
      </c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3"/>
      <c r="AM410" s="103"/>
      <c r="AN410" s="103"/>
      <c r="AO410" s="103"/>
      <c r="AP410" s="103">
        <v>75</v>
      </c>
      <c r="AQ410" s="103"/>
      <c r="AR410" s="103"/>
      <c r="AS410" s="103"/>
      <c r="AT410" s="103"/>
      <c r="AU410" s="103"/>
      <c r="AV410" s="103"/>
      <c r="AW410" s="104" t="str">
        <f>HYPERLINK("http://www.openstreetmap.org/?mlat=33.0359&amp;mlon=44.1802&amp;zoom=12#map=12/33.0359/44.1802","Maplink1")</f>
        <v>Maplink1</v>
      </c>
      <c r="AX410" s="104" t="str">
        <f>HYPERLINK("https://www.google.iq/maps/search/+33.0359,44.1802/@33.0359,44.1802,14z?hl=en","Maplink2")</f>
        <v>Maplink2</v>
      </c>
      <c r="AY410" s="104" t="str">
        <f>HYPERLINK("http://www.bing.com/maps/?lvl=14&amp;sty=h&amp;cp=33.0359~44.1802&amp;sp=point.33.0359_44.1802","Maplink3")</f>
        <v>Maplink3</v>
      </c>
    </row>
    <row r="411" spans="1:51" x14ac:dyDescent="0.2">
      <c r="A411" s="102">
        <v>33104</v>
      </c>
      <c r="B411" s="103" t="s">
        <v>30</v>
      </c>
      <c r="C411" s="103" t="s">
        <v>87</v>
      </c>
      <c r="D411" s="103" t="s">
        <v>912</v>
      </c>
      <c r="E411" s="103" t="s">
        <v>913</v>
      </c>
      <c r="F411" s="103">
        <v>33.033479999999997</v>
      </c>
      <c r="G411" s="103">
        <v>44.162723032499997</v>
      </c>
      <c r="H411" s="102">
        <v>120</v>
      </c>
      <c r="I411" s="102">
        <v>720</v>
      </c>
      <c r="J411" s="103"/>
      <c r="K411" s="103"/>
      <c r="L411" s="103"/>
      <c r="M411" s="103">
        <v>117</v>
      </c>
      <c r="N411" s="103">
        <v>3</v>
      </c>
      <c r="O411" s="103"/>
      <c r="P411" s="103"/>
      <c r="Q411" s="103"/>
      <c r="R411" s="103"/>
      <c r="S411" s="103"/>
      <c r="T411" s="103"/>
      <c r="U411" s="103"/>
      <c r="V411" s="103"/>
      <c r="W411" s="103">
        <v>105</v>
      </c>
      <c r="X411" s="103"/>
      <c r="Y411" s="103"/>
      <c r="Z411" s="103"/>
      <c r="AA411" s="103">
        <v>15</v>
      </c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3"/>
      <c r="AM411" s="103">
        <v>120</v>
      </c>
      <c r="AN411" s="103"/>
      <c r="AO411" s="103"/>
      <c r="AP411" s="103"/>
      <c r="AQ411" s="103"/>
      <c r="AR411" s="103"/>
      <c r="AS411" s="103"/>
      <c r="AT411" s="103"/>
      <c r="AU411" s="103"/>
      <c r="AV411" s="103"/>
      <c r="AW411" s="104" t="str">
        <f>HYPERLINK("http://www.openstreetmap.org/?mlat=33.0335&amp;mlon=44.1627&amp;zoom=12#map=12/33.0335/44.1627","Maplink1")</f>
        <v>Maplink1</v>
      </c>
      <c r="AX411" s="104" t="str">
        <f>HYPERLINK("https://www.google.iq/maps/search/+33.0335,44.1627/@33.0335,44.1627,14z?hl=en","Maplink2")</f>
        <v>Maplink2</v>
      </c>
      <c r="AY411" s="104" t="str">
        <f>HYPERLINK("http://www.bing.com/maps/?lvl=14&amp;sty=h&amp;cp=33.0335~44.1627&amp;sp=point.33.0335_44.1627","Maplink3")</f>
        <v>Maplink3</v>
      </c>
    </row>
    <row r="412" spans="1:51" x14ac:dyDescent="0.2">
      <c r="A412" s="102">
        <v>33258</v>
      </c>
      <c r="B412" s="103" t="s">
        <v>30</v>
      </c>
      <c r="C412" s="103" t="s">
        <v>87</v>
      </c>
      <c r="D412" s="103" t="s">
        <v>914</v>
      </c>
      <c r="E412" s="103" t="s">
        <v>915</v>
      </c>
      <c r="F412" s="103">
        <v>32.951695000000001</v>
      </c>
      <c r="G412" s="103">
        <v>44.297568814100003</v>
      </c>
      <c r="H412" s="102">
        <v>90</v>
      </c>
      <c r="I412" s="102">
        <v>540</v>
      </c>
      <c r="J412" s="103">
        <v>13</v>
      </c>
      <c r="K412" s="103"/>
      <c r="L412" s="103"/>
      <c r="M412" s="103">
        <v>57</v>
      </c>
      <c r="N412" s="103">
        <v>20</v>
      </c>
      <c r="O412" s="103"/>
      <c r="P412" s="103"/>
      <c r="Q412" s="103"/>
      <c r="R412" s="103"/>
      <c r="S412" s="103"/>
      <c r="T412" s="103"/>
      <c r="U412" s="103"/>
      <c r="V412" s="103">
        <v>20</v>
      </c>
      <c r="W412" s="103">
        <v>63</v>
      </c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>
        <v>7</v>
      </c>
      <c r="AK412" s="103"/>
      <c r="AL412" s="103"/>
      <c r="AM412" s="103"/>
      <c r="AN412" s="103"/>
      <c r="AO412" s="103"/>
      <c r="AP412" s="103">
        <v>90</v>
      </c>
      <c r="AQ412" s="103"/>
      <c r="AR412" s="103"/>
      <c r="AS412" s="103"/>
      <c r="AT412" s="103"/>
      <c r="AU412" s="103"/>
      <c r="AV412" s="103"/>
      <c r="AW412" s="104" t="str">
        <f>HYPERLINK("http://www.openstreetmap.org/?mlat=32.9517&amp;mlon=44.2976&amp;zoom=12#map=12/32.9517/44.2976","Maplink1")</f>
        <v>Maplink1</v>
      </c>
      <c r="AX412" s="104" t="str">
        <f>HYPERLINK("https://www.google.iq/maps/search/+32.9517,44.2976/@32.9517,44.2976,14z?hl=en","Maplink2")</f>
        <v>Maplink2</v>
      </c>
      <c r="AY412" s="104" t="str">
        <f>HYPERLINK("http://www.bing.com/maps/?lvl=14&amp;sty=h&amp;cp=32.9517~44.2976&amp;sp=point.32.9517_44.2976","Maplink3")</f>
        <v>Maplink3</v>
      </c>
    </row>
    <row r="413" spans="1:51" x14ac:dyDescent="0.2">
      <c r="A413" s="102">
        <v>32096</v>
      </c>
      <c r="B413" s="103" t="s">
        <v>30</v>
      </c>
      <c r="C413" s="103" t="s">
        <v>87</v>
      </c>
      <c r="D413" s="103" t="s">
        <v>890</v>
      </c>
      <c r="E413" s="103" t="s">
        <v>891</v>
      </c>
      <c r="F413" s="103">
        <v>33.039740999999999</v>
      </c>
      <c r="G413" s="103">
        <v>44.147748435899999</v>
      </c>
      <c r="H413" s="102">
        <v>153</v>
      </c>
      <c r="I413" s="102">
        <v>918</v>
      </c>
      <c r="J413" s="103"/>
      <c r="K413" s="103"/>
      <c r="L413" s="103"/>
      <c r="M413" s="103">
        <v>145</v>
      </c>
      <c r="N413" s="103">
        <v>8</v>
      </c>
      <c r="O413" s="103"/>
      <c r="P413" s="103"/>
      <c r="Q413" s="103"/>
      <c r="R413" s="103"/>
      <c r="S413" s="103"/>
      <c r="T413" s="103"/>
      <c r="U413" s="103"/>
      <c r="V413" s="103"/>
      <c r="W413" s="103">
        <v>110</v>
      </c>
      <c r="X413" s="103"/>
      <c r="Y413" s="103"/>
      <c r="Z413" s="103"/>
      <c r="AA413" s="103">
        <v>43</v>
      </c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103"/>
      <c r="AO413" s="103">
        <v>153</v>
      </c>
      <c r="AP413" s="103"/>
      <c r="AQ413" s="103"/>
      <c r="AR413" s="103"/>
      <c r="AS413" s="103"/>
      <c r="AT413" s="103"/>
      <c r="AU413" s="103"/>
      <c r="AV413" s="103"/>
      <c r="AW413" s="104" t="str">
        <f>HYPERLINK("http://www.openstreetmap.org/?mlat=33.0397&amp;mlon=44.1477&amp;zoom=12#map=12/33.0397/44.1477","Maplink1")</f>
        <v>Maplink1</v>
      </c>
      <c r="AX413" s="104" t="str">
        <f>HYPERLINK("https://www.google.iq/maps/search/+33.0397,44.1477/@33.0397,44.1477,14z?hl=en","Maplink2")</f>
        <v>Maplink2</v>
      </c>
      <c r="AY413" s="104" t="str">
        <f>HYPERLINK("http://www.bing.com/maps/?lvl=14&amp;sty=h&amp;cp=33.0397~44.1477&amp;sp=point.33.0397_44.1477","Maplink3")</f>
        <v>Maplink3</v>
      </c>
    </row>
    <row r="414" spans="1:51" x14ac:dyDescent="0.2">
      <c r="A414" s="102">
        <v>33685</v>
      </c>
      <c r="B414" s="103" t="s">
        <v>30</v>
      </c>
      <c r="C414" s="103" t="s">
        <v>88</v>
      </c>
      <c r="D414" s="103" t="s">
        <v>938</v>
      </c>
      <c r="E414" s="103" t="s">
        <v>939</v>
      </c>
      <c r="F414" s="103">
        <v>33.661110999999998</v>
      </c>
      <c r="G414" s="103">
        <v>44.167172287200003</v>
      </c>
      <c r="H414" s="102">
        <v>49</v>
      </c>
      <c r="I414" s="102">
        <v>294</v>
      </c>
      <c r="J414" s="103"/>
      <c r="K414" s="103"/>
      <c r="L414" s="103"/>
      <c r="M414" s="103">
        <v>49</v>
      </c>
      <c r="N414" s="103"/>
      <c r="O414" s="103"/>
      <c r="P414" s="103"/>
      <c r="Q414" s="103"/>
      <c r="R414" s="103"/>
      <c r="S414" s="103"/>
      <c r="T414" s="103"/>
      <c r="U414" s="103"/>
      <c r="V414" s="103"/>
      <c r="W414" s="103">
        <v>49</v>
      </c>
      <c r="X414" s="103"/>
      <c r="Y414" s="103"/>
      <c r="Z414" s="103"/>
      <c r="AA414" s="103"/>
      <c r="AB414" s="103"/>
      <c r="AC414" s="103"/>
      <c r="AD414" s="103"/>
      <c r="AE414" s="103"/>
      <c r="AF414" s="103"/>
      <c r="AG414" s="103"/>
      <c r="AH414" s="103"/>
      <c r="AI414" s="103"/>
      <c r="AJ414" s="103"/>
      <c r="AK414" s="103"/>
      <c r="AL414" s="103"/>
      <c r="AM414" s="103"/>
      <c r="AN414" s="103"/>
      <c r="AO414" s="103"/>
      <c r="AP414" s="103">
        <v>49</v>
      </c>
      <c r="AQ414" s="103"/>
      <c r="AR414" s="103"/>
      <c r="AS414" s="103"/>
      <c r="AT414" s="103"/>
      <c r="AU414" s="103"/>
      <c r="AV414" s="103"/>
      <c r="AW414" s="104" t="str">
        <f>HYPERLINK("http://www.openstreetmap.org/?mlat=33.6611&amp;mlon=44.1672&amp;zoom=12#map=12/33.6611/44.1672","Maplink1")</f>
        <v>Maplink1</v>
      </c>
      <c r="AX414" s="104" t="str">
        <f>HYPERLINK("https://www.google.iq/maps/search/+33.6611,44.1672/@33.6611,44.1672,14z?hl=en","Maplink2")</f>
        <v>Maplink2</v>
      </c>
      <c r="AY414" s="104" t="str">
        <f>HYPERLINK("http://www.bing.com/maps/?lvl=14&amp;sty=h&amp;cp=33.6611~44.1672&amp;sp=point.33.6611_44.1672","Maplink3")</f>
        <v>Maplink3</v>
      </c>
    </row>
    <row r="415" spans="1:51" x14ac:dyDescent="0.2">
      <c r="A415" s="102">
        <v>33768</v>
      </c>
      <c r="B415" s="103" t="s">
        <v>30</v>
      </c>
      <c r="C415" s="103" t="s">
        <v>88</v>
      </c>
      <c r="D415" s="103" t="s">
        <v>940</v>
      </c>
      <c r="E415" s="103" t="s">
        <v>941</v>
      </c>
      <c r="F415" s="103">
        <v>33.663169000000003</v>
      </c>
      <c r="G415" s="103">
        <v>44.144328000000002</v>
      </c>
      <c r="H415" s="102">
        <v>23</v>
      </c>
      <c r="I415" s="102">
        <v>138</v>
      </c>
      <c r="J415" s="103"/>
      <c r="K415" s="103"/>
      <c r="L415" s="103"/>
      <c r="M415" s="103">
        <v>23</v>
      </c>
      <c r="N415" s="103"/>
      <c r="O415" s="103"/>
      <c r="P415" s="103"/>
      <c r="Q415" s="103"/>
      <c r="R415" s="103"/>
      <c r="S415" s="103"/>
      <c r="T415" s="103"/>
      <c r="U415" s="103"/>
      <c r="V415" s="103"/>
      <c r="W415" s="103">
        <v>20</v>
      </c>
      <c r="X415" s="103"/>
      <c r="Y415" s="103"/>
      <c r="Z415" s="103"/>
      <c r="AA415" s="103">
        <v>3</v>
      </c>
      <c r="AB415" s="103"/>
      <c r="AC415" s="103"/>
      <c r="AD415" s="103"/>
      <c r="AE415" s="103"/>
      <c r="AF415" s="103"/>
      <c r="AG415" s="103"/>
      <c r="AH415" s="103"/>
      <c r="AI415" s="103"/>
      <c r="AJ415" s="103"/>
      <c r="AK415" s="103"/>
      <c r="AL415" s="103"/>
      <c r="AM415" s="103"/>
      <c r="AN415" s="103"/>
      <c r="AO415" s="103"/>
      <c r="AP415" s="103">
        <v>23</v>
      </c>
      <c r="AQ415" s="103"/>
      <c r="AR415" s="103"/>
      <c r="AS415" s="103"/>
      <c r="AT415" s="103"/>
      <c r="AU415" s="103"/>
      <c r="AV415" s="103"/>
      <c r="AW415" s="104" t="str">
        <f>HYPERLINK("http://www.openstreetmap.org/?mlat=33.6632&amp;mlon=44.1443&amp;zoom=12#map=12/33.6632/44.1443","Maplink1")</f>
        <v>Maplink1</v>
      </c>
      <c r="AX415" s="104" t="str">
        <f>HYPERLINK("https://www.google.iq/maps/search/+33.6632,44.1443/@33.6632,44.1443,14z?hl=en","Maplink2")</f>
        <v>Maplink2</v>
      </c>
      <c r="AY415" s="104" t="str">
        <f>HYPERLINK("http://www.bing.com/maps/?lvl=14&amp;sty=h&amp;cp=33.6632~44.1443&amp;sp=point.33.6632_44.1443","Maplink3")</f>
        <v>Maplink3</v>
      </c>
    </row>
    <row r="416" spans="1:51" x14ac:dyDescent="0.2">
      <c r="A416" s="102">
        <v>33785</v>
      </c>
      <c r="B416" s="103" t="s">
        <v>30</v>
      </c>
      <c r="C416" s="103" t="s">
        <v>88</v>
      </c>
      <c r="D416" s="103" t="s">
        <v>934</v>
      </c>
      <c r="E416" s="103" t="s">
        <v>935</v>
      </c>
      <c r="F416" s="103">
        <v>33.656469999999999</v>
      </c>
      <c r="G416" s="103">
        <v>44.158748000000003</v>
      </c>
      <c r="H416" s="102">
        <v>24</v>
      </c>
      <c r="I416" s="102">
        <v>144</v>
      </c>
      <c r="J416" s="103"/>
      <c r="K416" s="103"/>
      <c r="L416" s="103"/>
      <c r="M416" s="103">
        <v>24</v>
      </c>
      <c r="N416" s="103"/>
      <c r="O416" s="103"/>
      <c r="P416" s="103"/>
      <c r="Q416" s="103"/>
      <c r="R416" s="103"/>
      <c r="S416" s="103"/>
      <c r="T416" s="103"/>
      <c r="U416" s="103"/>
      <c r="V416" s="103"/>
      <c r="W416" s="103">
        <v>24</v>
      </c>
      <c r="X416" s="103"/>
      <c r="Y416" s="103"/>
      <c r="Z416" s="103"/>
      <c r="AA416" s="103"/>
      <c r="AB416" s="103"/>
      <c r="AC416" s="103"/>
      <c r="AD416" s="103"/>
      <c r="AE416" s="103"/>
      <c r="AF416" s="103"/>
      <c r="AG416" s="103"/>
      <c r="AH416" s="103"/>
      <c r="AI416" s="103"/>
      <c r="AJ416" s="103"/>
      <c r="AK416" s="103"/>
      <c r="AL416" s="103"/>
      <c r="AM416" s="103"/>
      <c r="AN416" s="103"/>
      <c r="AO416" s="103"/>
      <c r="AP416" s="103">
        <v>24</v>
      </c>
      <c r="AQ416" s="103"/>
      <c r="AR416" s="103"/>
      <c r="AS416" s="103"/>
      <c r="AT416" s="103"/>
      <c r="AU416" s="103"/>
      <c r="AV416" s="103"/>
      <c r="AW416" s="104" t="str">
        <f>HYPERLINK("http://www.openstreetmap.org/?mlat=33.6565&amp;mlon=44.1587&amp;zoom=12#map=12/33.6565/44.1587","Maplink1")</f>
        <v>Maplink1</v>
      </c>
      <c r="AX416" s="104" t="str">
        <f>HYPERLINK("https://www.google.iq/maps/search/+33.6565,44.1587/@33.6565,44.1587,14z?hl=en","Maplink2")</f>
        <v>Maplink2</v>
      </c>
      <c r="AY416" s="104" t="str">
        <f>HYPERLINK("http://www.bing.com/maps/?lvl=14&amp;sty=h&amp;cp=33.6565~44.1587&amp;sp=point.33.6565_44.1587","Maplink3")</f>
        <v>Maplink3</v>
      </c>
    </row>
    <row r="417" spans="1:51" x14ac:dyDescent="0.2">
      <c r="A417" s="102">
        <v>33784</v>
      </c>
      <c r="B417" s="103" t="s">
        <v>30</v>
      </c>
      <c r="C417" s="103" t="s">
        <v>88</v>
      </c>
      <c r="D417" s="103" t="s">
        <v>936</v>
      </c>
      <c r="E417" s="103" t="s">
        <v>937</v>
      </c>
      <c r="F417" s="103">
        <v>33.666063000000001</v>
      </c>
      <c r="G417" s="103">
        <v>44.144140999999998</v>
      </c>
      <c r="H417" s="102">
        <v>27</v>
      </c>
      <c r="I417" s="102">
        <v>162</v>
      </c>
      <c r="J417" s="103"/>
      <c r="K417" s="103"/>
      <c r="L417" s="103"/>
      <c r="M417" s="103">
        <v>22</v>
      </c>
      <c r="N417" s="103">
        <v>5</v>
      </c>
      <c r="O417" s="103"/>
      <c r="P417" s="103"/>
      <c r="Q417" s="103"/>
      <c r="R417" s="103"/>
      <c r="S417" s="103"/>
      <c r="T417" s="103"/>
      <c r="U417" s="103"/>
      <c r="V417" s="103"/>
      <c r="W417" s="103">
        <v>22</v>
      </c>
      <c r="X417" s="103"/>
      <c r="Y417" s="103"/>
      <c r="Z417" s="103"/>
      <c r="AA417" s="103">
        <v>3</v>
      </c>
      <c r="AB417" s="103"/>
      <c r="AC417" s="103"/>
      <c r="AD417" s="103"/>
      <c r="AE417" s="103"/>
      <c r="AF417" s="103"/>
      <c r="AG417" s="103"/>
      <c r="AH417" s="103"/>
      <c r="AI417" s="103"/>
      <c r="AJ417" s="103">
        <v>2</v>
      </c>
      <c r="AK417" s="103"/>
      <c r="AL417" s="103"/>
      <c r="AM417" s="103"/>
      <c r="AN417" s="103"/>
      <c r="AO417" s="103"/>
      <c r="AP417" s="103">
        <v>27</v>
      </c>
      <c r="AQ417" s="103"/>
      <c r="AR417" s="103"/>
      <c r="AS417" s="103"/>
      <c r="AT417" s="103"/>
      <c r="AU417" s="103"/>
      <c r="AV417" s="103"/>
      <c r="AW417" s="104" t="str">
        <f>HYPERLINK("http://www.openstreetmap.org/?mlat=33.6661&amp;mlon=44.1441&amp;zoom=12#map=12/33.6661/44.1441","Maplink1")</f>
        <v>Maplink1</v>
      </c>
      <c r="AX417" s="104" t="str">
        <f>HYPERLINK("https://www.google.iq/maps/search/+33.6661,44.1441/@33.6661,44.1441,14z?hl=en","Maplink2")</f>
        <v>Maplink2</v>
      </c>
      <c r="AY417" s="104" t="str">
        <f>HYPERLINK("http://www.bing.com/maps/?lvl=14&amp;sty=h&amp;cp=33.6661~44.1441&amp;sp=point.33.6661_44.1441","Maplink3")</f>
        <v>Maplink3</v>
      </c>
    </row>
    <row r="418" spans="1:51" x14ac:dyDescent="0.2">
      <c r="A418" s="102">
        <v>33458</v>
      </c>
      <c r="B418" s="103" t="s">
        <v>30</v>
      </c>
      <c r="C418" s="103" t="s">
        <v>88</v>
      </c>
      <c r="D418" s="103" t="s">
        <v>978</v>
      </c>
      <c r="E418" s="103" t="s">
        <v>979</v>
      </c>
      <c r="F418" s="103">
        <v>33.592779999999998</v>
      </c>
      <c r="G418" s="103">
        <v>44.175509487699998</v>
      </c>
      <c r="H418" s="102">
        <v>94</v>
      </c>
      <c r="I418" s="102">
        <v>564</v>
      </c>
      <c r="J418" s="103"/>
      <c r="K418" s="103"/>
      <c r="L418" s="103"/>
      <c r="M418" s="103">
        <v>92</v>
      </c>
      <c r="N418" s="103">
        <v>2</v>
      </c>
      <c r="O418" s="103"/>
      <c r="P418" s="103"/>
      <c r="Q418" s="103"/>
      <c r="R418" s="103"/>
      <c r="S418" s="103"/>
      <c r="T418" s="103"/>
      <c r="U418" s="103"/>
      <c r="V418" s="103"/>
      <c r="W418" s="103">
        <v>94</v>
      </c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  <c r="AN418" s="103"/>
      <c r="AO418" s="103"/>
      <c r="AP418" s="103">
        <v>94</v>
      </c>
      <c r="AQ418" s="103"/>
      <c r="AR418" s="103"/>
      <c r="AS418" s="103"/>
      <c r="AT418" s="103"/>
      <c r="AU418" s="103"/>
      <c r="AV418" s="103"/>
      <c r="AW418" s="104" t="str">
        <f>HYPERLINK("http://www.openstreetmap.org/?mlat=33.5928&amp;mlon=44.1755&amp;zoom=12#map=12/33.5928/44.1755","Maplink1")</f>
        <v>Maplink1</v>
      </c>
      <c r="AX418" s="104" t="str">
        <f>HYPERLINK("https://www.google.iq/maps/search/+33.5928,44.1755/@33.5928,44.1755,14z?hl=en","Maplink2")</f>
        <v>Maplink2</v>
      </c>
      <c r="AY418" s="104" t="str">
        <f>HYPERLINK("http://www.bing.com/maps/?lvl=14&amp;sty=h&amp;cp=33.5928~44.1755&amp;sp=point.33.5928_44.1755","Maplink3")</f>
        <v>Maplink3</v>
      </c>
    </row>
    <row r="419" spans="1:51" x14ac:dyDescent="0.2">
      <c r="A419" s="102">
        <v>33966</v>
      </c>
      <c r="B419" s="103" t="s">
        <v>30</v>
      </c>
      <c r="C419" s="103" t="s">
        <v>88</v>
      </c>
      <c r="D419" s="103" t="s">
        <v>980</v>
      </c>
      <c r="E419" s="103" t="s">
        <v>981</v>
      </c>
      <c r="F419" s="103">
        <v>33.735033999999999</v>
      </c>
      <c r="G419" s="103">
        <v>44.259467000000001</v>
      </c>
      <c r="H419" s="102">
        <v>21</v>
      </c>
      <c r="I419" s="102">
        <v>126</v>
      </c>
      <c r="J419" s="103"/>
      <c r="K419" s="103"/>
      <c r="L419" s="103"/>
      <c r="M419" s="103">
        <v>17</v>
      </c>
      <c r="N419" s="103">
        <v>4</v>
      </c>
      <c r="O419" s="103"/>
      <c r="P419" s="103"/>
      <c r="Q419" s="103"/>
      <c r="R419" s="103"/>
      <c r="S419" s="103"/>
      <c r="T419" s="103"/>
      <c r="U419" s="103"/>
      <c r="V419" s="103"/>
      <c r="W419" s="103">
        <v>21</v>
      </c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103"/>
      <c r="AO419" s="103"/>
      <c r="AP419" s="103">
        <v>21</v>
      </c>
      <c r="AQ419" s="103"/>
      <c r="AR419" s="103"/>
      <c r="AS419" s="103"/>
      <c r="AT419" s="103"/>
      <c r="AU419" s="103"/>
      <c r="AV419" s="103"/>
      <c r="AW419" s="104" t="str">
        <f>HYPERLINK("http://www.openstreetmap.org/?mlat=33.735&amp;mlon=44.2595&amp;zoom=12#map=12/33.735/44.2595","Maplink1")</f>
        <v>Maplink1</v>
      </c>
      <c r="AX419" s="104" t="str">
        <f>HYPERLINK("https://www.google.iq/maps/search/+33.735,44.2595/@33.735,44.2595,14z?hl=en","Maplink2")</f>
        <v>Maplink2</v>
      </c>
      <c r="AY419" s="104" t="str">
        <f>HYPERLINK("http://www.bing.com/maps/?lvl=14&amp;sty=h&amp;cp=33.735~44.2595&amp;sp=point.33.735_44.2595","Maplink3")</f>
        <v>Maplink3</v>
      </c>
    </row>
    <row r="420" spans="1:51" x14ac:dyDescent="0.2">
      <c r="A420" s="102">
        <v>25425</v>
      </c>
      <c r="B420" s="103" t="s">
        <v>30</v>
      </c>
      <c r="C420" s="103" t="s">
        <v>88</v>
      </c>
      <c r="D420" s="103" t="s">
        <v>976</v>
      </c>
      <c r="E420" s="103" t="s">
        <v>977</v>
      </c>
      <c r="F420" s="103">
        <v>33.586585085800003</v>
      </c>
      <c r="G420" s="103">
        <v>44.237565699000001</v>
      </c>
      <c r="H420" s="102">
        <v>72</v>
      </c>
      <c r="I420" s="102">
        <v>432</v>
      </c>
      <c r="J420" s="103"/>
      <c r="K420" s="103"/>
      <c r="L420" s="103"/>
      <c r="M420" s="103">
        <v>68</v>
      </c>
      <c r="N420" s="103">
        <v>4</v>
      </c>
      <c r="O420" s="103"/>
      <c r="P420" s="103"/>
      <c r="Q420" s="103"/>
      <c r="R420" s="103"/>
      <c r="S420" s="103"/>
      <c r="T420" s="103"/>
      <c r="U420" s="103"/>
      <c r="V420" s="103"/>
      <c r="W420" s="103">
        <v>70</v>
      </c>
      <c r="X420" s="103"/>
      <c r="Y420" s="103"/>
      <c r="Z420" s="103"/>
      <c r="AA420" s="103">
        <v>2</v>
      </c>
      <c r="AB420" s="103"/>
      <c r="AC420" s="103"/>
      <c r="AD420" s="103"/>
      <c r="AE420" s="103"/>
      <c r="AF420" s="103"/>
      <c r="AG420" s="103"/>
      <c r="AH420" s="103"/>
      <c r="AI420" s="103"/>
      <c r="AJ420" s="103"/>
      <c r="AK420" s="103"/>
      <c r="AL420" s="103"/>
      <c r="AM420" s="103"/>
      <c r="AN420" s="103"/>
      <c r="AO420" s="103"/>
      <c r="AP420" s="103">
        <v>72</v>
      </c>
      <c r="AQ420" s="103"/>
      <c r="AR420" s="103"/>
      <c r="AS420" s="103"/>
      <c r="AT420" s="103"/>
      <c r="AU420" s="103"/>
      <c r="AV420" s="103"/>
      <c r="AW420" s="104" t="str">
        <f>HYPERLINK("http://www.openstreetmap.org/?mlat=33.5866&amp;mlon=44.2376&amp;zoom=12#map=12/33.5866/44.2376","Maplink1")</f>
        <v>Maplink1</v>
      </c>
      <c r="AX420" s="104" t="str">
        <f>HYPERLINK("https://www.google.iq/maps/search/+33.5866,44.2376/@33.5866,44.2376,14z?hl=en","Maplink2")</f>
        <v>Maplink2</v>
      </c>
      <c r="AY420" s="104" t="str">
        <f>HYPERLINK("http://www.bing.com/maps/?lvl=14&amp;sty=h&amp;cp=33.5866~44.2376&amp;sp=point.33.5866_44.2376","Maplink3")</f>
        <v>Maplink3</v>
      </c>
    </row>
    <row r="421" spans="1:51" x14ac:dyDescent="0.2">
      <c r="A421" s="102">
        <v>33598</v>
      </c>
      <c r="B421" s="103" t="s">
        <v>30</v>
      </c>
      <c r="C421" s="103" t="s">
        <v>88</v>
      </c>
      <c r="D421" s="103" t="s">
        <v>972</v>
      </c>
      <c r="E421" s="103" t="s">
        <v>973</v>
      </c>
      <c r="F421" s="103">
        <v>33.730339000000001</v>
      </c>
      <c r="G421" s="103">
        <v>44.193378571700002</v>
      </c>
      <c r="H421" s="102">
        <v>40</v>
      </c>
      <c r="I421" s="102">
        <v>240</v>
      </c>
      <c r="J421" s="103"/>
      <c r="K421" s="103"/>
      <c r="L421" s="103"/>
      <c r="M421" s="103">
        <v>32</v>
      </c>
      <c r="N421" s="103">
        <v>8</v>
      </c>
      <c r="O421" s="103"/>
      <c r="P421" s="103"/>
      <c r="Q421" s="103"/>
      <c r="R421" s="103"/>
      <c r="S421" s="103"/>
      <c r="T421" s="103"/>
      <c r="U421" s="103"/>
      <c r="V421" s="103"/>
      <c r="W421" s="103">
        <v>35</v>
      </c>
      <c r="X421" s="103"/>
      <c r="Y421" s="103"/>
      <c r="Z421" s="103"/>
      <c r="AA421" s="103">
        <v>2</v>
      </c>
      <c r="AB421" s="103"/>
      <c r="AC421" s="103"/>
      <c r="AD421" s="103"/>
      <c r="AE421" s="103"/>
      <c r="AF421" s="103"/>
      <c r="AG421" s="103"/>
      <c r="AH421" s="103"/>
      <c r="AI421" s="103"/>
      <c r="AJ421" s="103">
        <v>3</v>
      </c>
      <c r="AK421" s="103"/>
      <c r="AL421" s="103"/>
      <c r="AM421" s="103"/>
      <c r="AN421" s="103"/>
      <c r="AO421" s="103"/>
      <c r="AP421" s="103">
        <v>40</v>
      </c>
      <c r="AQ421" s="103"/>
      <c r="AR421" s="103"/>
      <c r="AS421" s="103"/>
      <c r="AT421" s="103"/>
      <c r="AU421" s="103"/>
      <c r="AV421" s="103"/>
      <c r="AW421" s="104" t="str">
        <f>HYPERLINK("http://www.openstreetmap.org/?mlat=33.7303&amp;mlon=44.1934&amp;zoom=12#map=12/33.7303/44.1934","Maplink1")</f>
        <v>Maplink1</v>
      </c>
      <c r="AX421" s="104" t="str">
        <f>HYPERLINK("https://www.google.iq/maps/search/+33.7303,44.1934/@33.7303,44.1934,14z?hl=en","Maplink2")</f>
        <v>Maplink2</v>
      </c>
      <c r="AY421" s="104" t="str">
        <f>HYPERLINK("http://www.bing.com/maps/?lvl=14&amp;sty=h&amp;cp=33.7303~44.1934&amp;sp=point.33.7303_44.1934","Maplink3")</f>
        <v>Maplink3</v>
      </c>
    </row>
    <row r="422" spans="1:51" x14ac:dyDescent="0.2">
      <c r="A422" s="102">
        <v>33786</v>
      </c>
      <c r="B422" s="103" t="s">
        <v>30</v>
      </c>
      <c r="C422" s="103" t="s">
        <v>88</v>
      </c>
      <c r="D422" s="103" t="s">
        <v>974</v>
      </c>
      <c r="E422" s="103" t="s">
        <v>975</v>
      </c>
      <c r="F422" s="103">
        <v>33.710048999999998</v>
      </c>
      <c r="G422" s="103">
        <v>44.189709000000001</v>
      </c>
      <c r="H422" s="102">
        <v>27</v>
      </c>
      <c r="I422" s="102">
        <v>162</v>
      </c>
      <c r="J422" s="103"/>
      <c r="K422" s="103"/>
      <c r="L422" s="103"/>
      <c r="M422" s="103">
        <v>27</v>
      </c>
      <c r="N422" s="103"/>
      <c r="O422" s="103"/>
      <c r="P422" s="103"/>
      <c r="Q422" s="103"/>
      <c r="R422" s="103"/>
      <c r="S422" s="103"/>
      <c r="T422" s="103"/>
      <c r="U422" s="103"/>
      <c r="V422" s="103"/>
      <c r="W422" s="103">
        <v>27</v>
      </c>
      <c r="X422" s="103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3"/>
      <c r="AM422" s="103"/>
      <c r="AN422" s="103"/>
      <c r="AO422" s="103"/>
      <c r="AP422" s="103">
        <v>27</v>
      </c>
      <c r="AQ422" s="103"/>
      <c r="AR422" s="103"/>
      <c r="AS422" s="103"/>
      <c r="AT422" s="103"/>
      <c r="AU422" s="103"/>
      <c r="AV422" s="103"/>
      <c r="AW422" s="104" t="str">
        <f>HYPERLINK("http://www.openstreetmap.org/?mlat=33.71&amp;mlon=44.1897&amp;zoom=12#map=12/33.71/44.1897","Maplink1")</f>
        <v>Maplink1</v>
      </c>
      <c r="AX422" s="104" t="str">
        <f>HYPERLINK("https://www.google.iq/maps/search/+33.71,44.1897/@33.71,44.1897,14z?hl=en","Maplink2")</f>
        <v>Maplink2</v>
      </c>
      <c r="AY422" s="104" t="str">
        <f>HYPERLINK("http://www.bing.com/maps/?lvl=14&amp;sty=h&amp;cp=33.71~44.1897&amp;sp=point.33.71_44.1897","Maplink3")</f>
        <v>Maplink3</v>
      </c>
    </row>
    <row r="423" spans="1:51" x14ac:dyDescent="0.2">
      <c r="A423" s="102">
        <v>33469</v>
      </c>
      <c r="B423" s="103" t="s">
        <v>30</v>
      </c>
      <c r="C423" s="103" t="s">
        <v>88</v>
      </c>
      <c r="D423" s="103" t="s">
        <v>962</v>
      </c>
      <c r="E423" s="103" t="s">
        <v>963</v>
      </c>
      <c r="F423" s="103">
        <v>33.639982000000003</v>
      </c>
      <c r="G423" s="103">
        <v>44.158274691000003</v>
      </c>
      <c r="H423" s="102">
        <v>78</v>
      </c>
      <c r="I423" s="102">
        <v>468</v>
      </c>
      <c r="J423" s="103"/>
      <c r="K423" s="103"/>
      <c r="L423" s="103"/>
      <c r="M423" s="103">
        <v>71</v>
      </c>
      <c r="N423" s="103">
        <v>7</v>
      </c>
      <c r="O423" s="103"/>
      <c r="P423" s="103"/>
      <c r="Q423" s="103"/>
      <c r="R423" s="103"/>
      <c r="S423" s="103"/>
      <c r="T423" s="103"/>
      <c r="U423" s="103"/>
      <c r="V423" s="103"/>
      <c r="W423" s="103">
        <v>78</v>
      </c>
      <c r="X423" s="103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3"/>
      <c r="AM423" s="103"/>
      <c r="AN423" s="103"/>
      <c r="AO423" s="103"/>
      <c r="AP423" s="103">
        <v>78</v>
      </c>
      <c r="AQ423" s="103"/>
      <c r="AR423" s="103"/>
      <c r="AS423" s="103"/>
      <c r="AT423" s="103"/>
      <c r="AU423" s="103"/>
      <c r="AV423" s="103"/>
      <c r="AW423" s="104" t="str">
        <f>HYPERLINK("http://www.openstreetmap.org/?mlat=33.64&amp;mlon=44.1583&amp;zoom=12#map=12/33.64/44.1583","Maplink1")</f>
        <v>Maplink1</v>
      </c>
      <c r="AX423" s="104" t="str">
        <f>HYPERLINK("https://www.google.iq/maps/search/+33.64,44.1583/@33.64,44.1583,14z?hl=en","Maplink2")</f>
        <v>Maplink2</v>
      </c>
      <c r="AY423" s="104" t="str">
        <f>HYPERLINK("http://www.bing.com/maps/?lvl=14&amp;sty=h&amp;cp=33.64~44.1583&amp;sp=point.33.64_44.1583","Maplink3")</f>
        <v>Maplink3</v>
      </c>
    </row>
    <row r="424" spans="1:51" x14ac:dyDescent="0.2">
      <c r="A424" s="102">
        <v>33597</v>
      </c>
      <c r="B424" s="103" t="s">
        <v>30</v>
      </c>
      <c r="C424" s="103" t="s">
        <v>88</v>
      </c>
      <c r="D424" s="103" t="s">
        <v>964</v>
      </c>
      <c r="E424" s="103" t="s">
        <v>965</v>
      </c>
      <c r="F424" s="103">
        <v>33.603543999999999</v>
      </c>
      <c r="G424" s="103">
        <v>44.195069619400002</v>
      </c>
      <c r="H424" s="102">
        <v>71</v>
      </c>
      <c r="I424" s="102">
        <v>426</v>
      </c>
      <c r="J424" s="103"/>
      <c r="K424" s="103"/>
      <c r="L424" s="103"/>
      <c r="M424" s="103">
        <v>59</v>
      </c>
      <c r="N424" s="103">
        <v>12</v>
      </c>
      <c r="O424" s="103"/>
      <c r="P424" s="103"/>
      <c r="Q424" s="103"/>
      <c r="R424" s="103"/>
      <c r="S424" s="103"/>
      <c r="T424" s="103"/>
      <c r="U424" s="103"/>
      <c r="V424" s="103"/>
      <c r="W424" s="103">
        <v>60</v>
      </c>
      <c r="X424" s="103"/>
      <c r="Y424" s="103"/>
      <c r="Z424" s="103"/>
      <c r="AA424" s="103">
        <v>5</v>
      </c>
      <c r="AB424" s="103"/>
      <c r="AC424" s="103"/>
      <c r="AD424" s="103"/>
      <c r="AE424" s="103"/>
      <c r="AF424" s="103"/>
      <c r="AG424" s="103"/>
      <c r="AH424" s="103"/>
      <c r="AI424" s="103"/>
      <c r="AJ424" s="103">
        <v>6</v>
      </c>
      <c r="AK424" s="103"/>
      <c r="AL424" s="103"/>
      <c r="AM424" s="103"/>
      <c r="AN424" s="103"/>
      <c r="AO424" s="103"/>
      <c r="AP424" s="103">
        <v>71</v>
      </c>
      <c r="AQ424" s="103"/>
      <c r="AR424" s="103"/>
      <c r="AS424" s="103"/>
      <c r="AT424" s="103"/>
      <c r="AU424" s="103"/>
      <c r="AV424" s="103"/>
      <c r="AW424" s="104" t="str">
        <f>HYPERLINK("http://www.openstreetmap.org/?mlat=33.6035&amp;mlon=44.1951&amp;zoom=12#map=12/33.6035/44.1951","Maplink1")</f>
        <v>Maplink1</v>
      </c>
      <c r="AX424" s="104" t="str">
        <f>HYPERLINK("https://www.google.iq/maps/search/+33.6035,44.1951/@33.6035,44.1951,14z?hl=en","Maplink2")</f>
        <v>Maplink2</v>
      </c>
      <c r="AY424" s="104" t="str">
        <f>HYPERLINK("http://www.bing.com/maps/?lvl=14&amp;sty=h&amp;cp=33.6035~44.1951&amp;sp=point.33.6035_44.1951","Maplink3")</f>
        <v>Maplink3</v>
      </c>
    </row>
    <row r="425" spans="1:51" x14ac:dyDescent="0.2">
      <c r="A425" s="102">
        <v>33783</v>
      </c>
      <c r="B425" s="103" t="s">
        <v>30</v>
      </c>
      <c r="C425" s="103" t="s">
        <v>88</v>
      </c>
      <c r="D425" s="103" t="s">
        <v>966</v>
      </c>
      <c r="E425" s="103" t="s">
        <v>967</v>
      </c>
      <c r="F425" s="103">
        <v>33.687319000000002</v>
      </c>
      <c r="G425" s="103">
        <v>44.274887999999997</v>
      </c>
      <c r="H425" s="102">
        <v>15</v>
      </c>
      <c r="I425" s="102">
        <v>90</v>
      </c>
      <c r="J425" s="103"/>
      <c r="K425" s="103"/>
      <c r="L425" s="103"/>
      <c r="M425" s="103">
        <v>15</v>
      </c>
      <c r="N425" s="103"/>
      <c r="O425" s="103"/>
      <c r="P425" s="103"/>
      <c r="Q425" s="103"/>
      <c r="R425" s="103"/>
      <c r="S425" s="103"/>
      <c r="T425" s="103"/>
      <c r="U425" s="103"/>
      <c r="V425" s="103"/>
      <c r="W425" s="103">
        <v>15</v>
      </c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103"/>
      <c r="AO425" s="103"/>
      <c r="AP425" s="103">
        <v>15</v>
      </c>
      <c r="AQ425" s="103"/>
      <c r="AR425" s="103"/>
      <c r="AS425" s="103"/>
      <c r="AT425" s="103"/>
      <c r="AU425" s="103"/>
      <c r="AV425" s="103"/>
      <c r="AW425" s="104" t="str">
        <f>HYPERLINK("http://www.openstreetmap.org/?mlat=33.6873&amp;mlon=44.2749&amp;zoom=12#map=12/33.6873/44.2749","Maplink1")</f>
        <v>Maplink1</v>
      </c>
      <c r="AX425" s="104" t="str">
        <f>HYPERLINK("https://www.google.iq/maps/search/+33.6873,44.2749/@33.6873,44.2749,14z?hl=en","Maplink2")</f>
        <v>Maplink2</v>
      </c>
      <c r="AY425" s="104" t="str">
        <f>HYPERLINK("http://www.bing.com/maps/?lvl=14&amp;sty=h&amp;cp=33.6873~44.2749&amp;sp=point.33.6873_44.2749","Maplink3")</f>
        <v>Maplink3</v>
      </c>
    </row>
    <row r="426" spans="1:51" x14ac:dyDescent="0.2">
      <c r="A426" s="102">
        <v>33523</v>
      </c>
      <c r="B426" s="103" t="s">
        <v>30</v>
      </c>
      <c r="C426" s="103" t="s">
        <v>88</v>
      </c>
      <c r="D426" s="103" t="s">
        <v>954</v>
      </c>
      <c r="E426" s="103" t="s">
        <v>955</v>
      </c>
      <c r="F426" s="103">
        <v>33.636245000000002</v>
      </c>
      <c r="G426" s="103">
        <v>44.199829958899997</v>
      </c>
      <c r="H426" s="102">
        <v>76</v>
      </c>
      <c r="I426" s="102">
        <v>456</v>
      </c>
      <c r="J426" s="103"/>
      <c r="K426" s="103"/>
      <c r="L426" s="103"/>
      <c r="M426" s="103">
        <v>67</v>
      </c>
      <c r="N426" s="103">
        <v>9</v>
      </c>
      <c r="O426" s="103"/>
      <c r="P426" s="103"/>
      <c r="Q426" s="103"/>
      <c r="R426" s="103"/>
      <c r="S426" s="103"/>
      <c r="T426" s="103"/>
      <c r="U426" s="103"/>
      <c r="V426" s="103"/>
      <c r="W426" s="103">
        <v>70</v>
      </c>
      <c r="X426" s="103"/>
      <c r="Y426" s="103"/>
      <c r="Z426" s="103"/>
      <c r="AA426" s="103">
        <v>2</v>
      </c>
      <c r="AB426" s="103"/>
      <c r="AC426" s="103"/>
      <c r="AD426" s="103"/>
      <c r="AE426" s="103"/>
      <c r="AF426" s="103"/>
      <c r="AG426" s="103"/>
      <c r="AH426" s="103"/>
      <c r="AI426" s="103"/>
      <c r="AJ426" s="103">
        <v>4</v>
      </c>
      <c r="AK426" s="103"/>
      <c r="AL426" s="103"/>
      <c r="AM426" s="103"/>
      <c r="AN426" s="103"/>
      <c r="AO426" s="103"/>
      <c r="AP426" s="103">
        <v>76</v>
      </c>
      <c r="AQ426" s="103"/>
      <c r="AR426" s="103"/>
      <c r="AS426" s="103"/>
      <c r="AT426" s="103"/>
      <c r="AU426" s="103"/>
      <c r="AV426" s="103"/>
      <c r="AW426" s="104" t="str">
        <f>HYPERLINK("http://www.openstreetmap.org/?mlat=33.6362&amp;mlon=44.1998&amp;zoom=12#map=12/33.6362/44.1998","Maplink1")</f>
        <v>Maplink1</v>
      </c>
      <c r="AX426" s="104" t="str">
        <f>HYPERLINK("https://www.google.iq/maps/search/+33.6362,44.1998/@33.6362,44.1998,14z?hl=en","Maplink2")</f>
        <v>Maplink2</v>
      </c>
      <c r="AY426" s="104" t="str">
        <f>HYPERLINK("http://www.bing.com/maps/?lvl=14&amp;sty=h&amp;cp=33.6362~44.1998&amp;sp=point.33.6362_44.1998","Maplink3")</f>
        <v>Maplink3</v>
      </c>
    </row>
    <row r="427" spans="1:51" x14ac:dyDescent="0.2">
      <c r="A427" s="102">
        <v>33782</v>
      </c>
      <c r="B427" s="103" t="s">
        <v>30</v>
      </c>
      <c r="C427" s="103" t="s">
        <v>88</v>
      </c>
      <c r="D427" s="103" t="s">
        <v>932</v>
      </c>
      <c r="E427" s="103" t="s">
        <v>933</v>
      </c>
      <c r="F427" s="103">
        <v>33.618862999999997</v>
      </c>
      <c r="G427" s="103">
        <v>44.260193999999998</v>
      </c>
      <c r="H427" s="102">
        <v>27</v>
      </c>
      <c r="I427" s="102">
        <v>162</v>
      </c>
      <c r="J427" s="103"/>
      <c r="K427" s="103"/>
      <c r="L427" s="103"/>
      <c r="M427" s="103">
        <v>24</v>
      </c>
      <c r="N427" s="103">
        <v>3</v>
      </c>
      <c r="O427" s="103"/>
      <c r="P427" s="103"/>
      <c r="Q427" s="103"/>
      <c r="R427" s="103"/>
      <c r="S427" s="103"/>
      <c r="T427" s="103"/>
      <c r="U427" s="103"/>
      <c r="V427" s="103"/>
      <c r="W427" s="103">
        <v>27</v>
      </c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103"/>
      <c r="AO427" s="103"/>
      <c r="AP427" s="103">
        <v>27</v>
      </c>
      <c r="AQ427" s="103"/>
      <c r="AR427" s="103"/>
      <c r="AS427" s="103"/>
      <c r="AT427" s="103"/>
      <c r="AU427" s="103"/>
      <c r="AV427" s="103"/>
      <c r="AW427" s="104" t="str">
        <f>HYPERLINK("http://www.openstreetmap.org/?mlat=33.6189&amp;mlon=44.2602&amp;zoom=12#map=12/33.6189/44.2602","Maplink1")</f>
        <v>Maplink1</v>
      </c>
      <c r="AX427" s="104" t="str">
        <f>HYPERLINK("https://www.google.iq/maps/search/+33.6189,44.2602/@33.6189,44.2602,14z?hl=en","Maplink2")</f>
        <v>Maplink2</v>
      </c>
      <c r="AY427" s="104" t="str">
        <f>HYPERLINK("http://www.bing.com/maps/?lvl=14&amp;sty=h&amp;cp=33.6189~44.2602&amp;sp=point.33.6189_44.2602","Maplink3")</f>
        <v>Maplink3</v>
      </c>
    </row>
    <row r="428" spans="1:51" x14ac:dyDescent="0.2">
      <c r="A428" s="102">
        <v>33767</v>
      </c>
      <c r="B428" s="103" t="s">
        <v>30</v>
      </c>
      <c r="C428" s="103" t="s">
        <v>88</v>
      </c>
      <c r="D428" s="103" t="s">
        <v>968</v>
      </c>
      <c r="E428" s="103" t="s">
        <v>969</v>
      </c>
      <c r="F428" s="103">
        <v>33.651071999999999</v>
      </c>
      <c r="G428" s="103">
        <v>44.152526000000002</v>
      </c>
      <c r="H428" s="102">
        <v>29</v>
      </c>
      <c r="I428" s="102">
        <v>174</v>
      </c>
      <c r="J428" s="103"/>
      <c r="K428" s="103"/>
      <c r="L428" s="103"/>
      <c r="M428" s="103">
        <v>29</v>
      </c>
      <c r="N428" s="103"/>
      <c r="O428" s="103"/>
      <c r="P428" s="103"/>
      <c r="Q428" s="103"/>
      <c r="R428" s="103"/>
      <c r="S428" s="103"/>
      <c r="T428" s="103"/>
      <c r="U428" s="103"/>
      <c r="V428" s="103"/>
      <c r="W428" s="103">
        <v>24</v>
      </c>
      <c r="X428" s="103"/>
      <c r="Y428" s="103"/>
      <c r="Z428" s="103"/>
      <c r="AA428" s="103">
        <v>5</v>
      </c>
      <c r="AB428" s="103"/>
      <c r="AC428" s="103"/>
      <c r="AD428" s="103"/>
      <c r="AE428" s="103"/>
      <c r="AF428" s="103"/>
      <c r="AG428" s="103"/>
      <c r="AH428" s="103"/>
      <c r="AI428" s="103"/>
      <c r="AJ428" s="103"/>
      <c r="AK428" s="103"/>
      <c r="AL428" s="103"/>
      <c r="AM428" s="103"/>
      <c r="AN428" s="103"/>
      <c r="AO428" s="103"/>
      <c r="AP428" s="103">
        <v>29</v>
      </c>
      <c r="AQ428" s="103"/>
      <c r="AR428" s="103"/>
      <c r="AS428" s="103"/>
      <c r="AT428" s="103"/>
      <c r="AU428" s="103"/>
      <c r="AV428" s="103"/>
      <c r="AW428" s="104" t="str">
        <f>HYPERLINK("http://www.openstreetmap.org/?mlat=33.6511&amp;mlon=44.1525&amp;zoom=12#map=12/33.6511/44.1525","Maplink1")</f>
        <v>Maplink1</v>
      </c>
      <c r="AX428" s="104" t="str">
        <f>HYPERLINK("https://www.google.iq/maps/search/+33.6511,44.1525/@33.6511,44.1525,14z?hl=en","Maplink2")</f>
        <v>Maplink2</v>
      </c>
      <c r="AY428" s="104" t="str">
        <f>HYPERLINK("http://www.bing.com/maps/?lvl=14&amp;sty=h&amp;cp=33.6511~44.1525&amp;sp=point.33.6511_44.1525","Maplink3")</f>
        <v>Maplink3</v>
      </c>
    </row>
    <row r="429" spans="1:51" x14ac:dyDescent="0.2">
      <c r="A429" s="102">
        <v>33686</v>
      </c>
      <c r="B429" s="103" t="s">
        <v>30</v>
      </c>
      <c r="C429" s="103" t="s">
        <v>88</v>
      </c>
      <c r="D429" s="103" t="s">
        <v>948</v>
      </c>
      <c r="E429" s="103" t="s">
        <v>949</v>
      </c>
      <c r="F429" s="103">
        <v>33.662336000000003</v>
      </c>
      <c r="G429" s="103">
        <v>44.183874262899998</v>
      </c>
      <c r="H429" s="102">
        <v>41</v>
      </c>
      <c r="I429" s="102">
        <v>246</v>
      </c>
      <c r="J429" s="103"/>
      <c r="K429" s="103"/>
      <c r="L429" s="103"/>
      <c r="M429" s="103">
        <v>38</v>
      </c>
      <c r="N429" s="103">
        <v>3</v>
      </c>
      <c r="O429" s="103"/>
      <c r="P429" s="103"/>
      <c r="Q429" s="103"/>
      <c r="R429" s="103"/>
      <c r="S429" s="103"/>
      <c r="T429" s="103"/>
      <c r="U429" s="103"/>
      <c r="V429" s="103"/>
      <c r="W429" s="103">
        <v>41</v>
      </c>
      <c r="X429" s="103"/>
      <c r="Y429" s="103"/>
      <c r="Z429" s="103"/>
      <c r="AA429" s="103"/>
      <c r="AB429" s="103"/>
      <c r="AC429" s="103"/>
      <c r="AD429" s="103"/>
      <c r="AE429" s="103"/>
      <c r="AF429" s="103"/>
      <c r="AG429" s="103"/>
      <c r="AH429" s="103"/>
      <c r="AI429" s="103"/>
      <c r="AJ429" s="103"/>
      <c r="AK429" s="103"/>
      <c r="AL429" s="103"/>
      <c r="AM429" s="103"/>
      <c r="AN429" s="103"/>
      <c r="AO429" s="103"/>
      <c r="AP429" s="103">
        <v>41</v>
      </c>
      <c r="AQ429" s="103"/>
      <c r="AR429" s="103"/>
      <c r="AS429" s="103"/>
      <c r="AT429" s="103"/>
      <c r="AU429" s="103"/>
      <c r="AV429" s="103"/>
      <c r="AW429" s="104" t="str">
        <f>HYPERLINK("http://www.openstreetmap.org/?mlat=33.6623&amp;mlon=44.1839&amp;zoom=12#map=12/33.6623/44.1839","Maplink1")</f>
        <v>Maplink1</v>
      </c>
      <c r="AX429" s="104" t="str">
        <f>HYPERLINK("https://www.google.iq/maps/search/+33.6623,44.1839/@33.6623,44.1839,14z?hl=en","Maplink2")</f>
        <v>Maplink2</v>
      </c>
      <c r="AY429" s="104" t="str">
        <f>HYPERLINK("http://www.bing.com/maps/?lvl=14&amp;sty=h&amp;cp=33.6623~44.1839&amp;sp=point.33.6623_44.1839","Maplink3")</f>
        <v>Maplink3</v>
      </c>
    </row>
    <row r="430" spans="1:51" x14ac:dyDescent="0.2">
      <c r="A430" s="102">
        <v>25426</v>
      </c>
      <c r="B430" s="103" t="s">
        <v>30</v>
      </c>
      <c r="C430" s="103" t="s">
        <v>88</v>
      </c>
      <c r="D430" s="103" t="s">
        <v>952</v>
      </c>
      <c r="E430" s="103" t="s">
        <v>953</v>
      </c>
      <c r="F430" s="103">
        <v>33.590311974499997</v>
      </c>
      <c r="G430" s="103">
        <v>44.238834347500003</v>
      </c>
      <c r="H430" s="102">
        <v>50</v>
      </c>
      <c r="I430" s="102">
        <v>300</v>
      </c>
      <c r="J430" s="103"/>
      <c r="K430" s="103"/>
      <c r="L430" s="103"/>
      <c r="M430" s="103">
        <v>45</v>
      </c>
      <c r="N430" s="103">
        <v>5</v>
      </c>
      <c r="O430" s="103"/>
      <c r="P430" s="103"/>
      <c r="Q430" s="103"/>
      <c r="R430" s="103"/>
      <c r="S430" s="103"/>
      <c r="T430" s="103"/>
      <c r="U430" s="103"/>
      <c r="V430" s="103"/>
      <c r="W430" s="103">
        <v>50</v>
      </c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103"/>
      <c r="AO430" s="103"/>
      <c r="AP430" s="103">
        <v>50</v>
      </c>
      <c r="AQ430" s="103"/>
      <c r="AR430" s="103"/>
      <c r="AS430" s="103"/>
      <c r="AT430" s="103"/>
      <c r="AU430" s="103"/>
      <c r="AV430" s="103"/>
      <c r="AW430" s="104" t="str">
        <f>HYPERLINK("http://www.openstreetmap.org/?mlat=33.5903&amp;mlon=44.2388&amp;zoom=12#map=12/33.5903/44.2388","Maplink1")</f>
        <v>Maplink1</v>
      </c>
      <c r="AX430" s="104" t="str">
        <f>HYPERLINK("https://www.google.iq/maps/search/+33.5903,44.2388/@33.5903,44.2388,14z?hl=en","Maplink2")</f>
        <v>Maplink2</v>
      </c>
      <c r="AY430" s="104" t="str">
        <f>HYPERLINK("http://www.bing.com/maps/?lvl=14&amp;sty=h&amp;cp=33.5903~44.2388&amp;sp=point.33.5903_44.2388","Maplink3")</f>
        <v>Maplink3</v>
      </c>
    </row>
    <row r="431" spans="1:51" x14ac:dyDescent="0.2">
      <c r="A431" s="102">
        <v>33457</v>
      </c>
      <c r="B431" s="103" t="s">
        <v>30</v>
      </c>
      <c r="C431" s="103" t="s">
        <v>88</v>
      </c>
      <c r="D431" s="103" t="s">
        <v>982</v>
      </c>
      <c r="E431" s="103" t="s">
        <v>983</v>
      </c>
      <c r="F431" s="103">
        <v>33.627203999999999</v>
      </c>
      <c r="G431" s="103">
        <v>44.181764053400002</v>
      </c>
      <c r="H431" s="102">
        <v>110</v>
      </c>
      <c r="I431" s="102">
        <v>660</v>
      </c>
      <c r="J431" s="103"/>
      <c r="K431" s="103"/>
      <c r="L431" s="103"/>
      <c r="M431" s="103">
        <v>107</v>
      </c>
      <c r="N431" s="103">
        <v>3</v>
      </c>
      <c r="O431" s="103"/>
      <c r="P431" s="103"/>
      <c r="Q431" s="103"/>
      <c r="R431" s="103"/>
      <c r="S431" s="103"/>
      <c r="T431" s="103"/>
      <c r="U431" s="103"/>
      <c r="V431" s="103"/>
      <c r="W431" s="103">
        <v>110</v>
      </c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103"/>
      <c r="AO431" s="103"/>
      <c r="AP431" s="103">
        <v>110</v>
      </c>
      <c r="AQ431" s="103"/>
      <c r="AR431" s="103"/>
      <c r="AS431" s="103"/>
      <c r="AT431" s="103"/>
      <c r="AU431" s="103"/>
      <c r="AV431" s="103"/>
      <c r="AW431" s="104" t="str">
        <f>HYPERLINK("http://www.openstreetmap.org/?mlat=33.6272&amp;mlon=44.1818&amp;zoom=12#map=12/33.6272/44.1818","Maplink1")</f>
        <v>Maplink1</v>
      </c>
      <c r="AX431" s="104" t="str">
        <f>HYPERLINK("https://www.google.iq/maps/search/+33.6272,44.1818/@33.6272,44.1818,14z?hl=en","Maplink2")</f>
        <v>Maplink2</v>
      </c>
      <c r="AY431" s="104" t="str">
        <f>HYPERLINK("http://www.bing.com/maps/?lvl=14&amp;sty=h&amp;cp=33.6272~44.1818&amp;sp=point.33.6272_44.1818","Maplink3")</f>
        <v>Maplink3</v>
      </c>
    </row>
    <row r="432" spans="1:51" x14ac:dyDescent="0.2">
      <c r="A432" s="102">
        <v>33596</v>
      </c>
      <c r="B432" s="103" t="s">
        <v>30</v>
      </c>
      <c r="C432" s="103" t="s">
        <v>88</v>
      </c>
      <c r="D432" s="103" t="s">
        <v>984</v>
      </c>
      <c r="E432" s="103" t="s">
        <v>985</v>
      </c>
      <c r="F432" s="103">
        <v>33.655566999999998</v>
      </c>
      <c r="G432" s="103">
        <v>44.248494489999999</v>
      </c>
      <c r="H432" s="102">
        <v>48</v>
      </c>
      <c r="I432" s="102">
        <v>288</v>
      </c>
      <c r="J432" s="103"/>
      <c r="K432" s="103"/>
      <c r="L432" s="103"/>
      <c r="M432" s="103">
        <v>38</v>
      </c>
      <c r="N432" s="103">
        <v>10</v>
      </c>
      <c r="O432" s="103"/>
      <c r="P432" s="103"/>
      <c r="Q432" s="103"/>
      <c r="R432" s="103"/>
      <c r="S432" s="103"/>
      <c r="T432" s="103"/>
      <c r="U432" s="103"/>
      <c r="V432" s="103"/>
      <c r="W432" s="103">
        <v>48</v>
      </c>
      <c r="X432" s="103"/>
      <c r="Y432" s="103"/>
      <c r="Z432" s="103"/>
      <c r="AA432" s="103"/>
      <c r="AB432" s="103"/>
      <c r="AC432" s="103"/>
      <c r="AD432" s="103"/>
      <c r="AE432" s="103"/>
      <c r="AF432" s="103"/>
      <c r="AG432" s="103"/>
      <c r="AH432" s="103"/>
      <c r="AI432" s="103"/>
      <c r="AJ432" s="103"/>
      <c r="AK432" s="103"/>
      <c r="AL432" s="103"/>
      <c r="AM432" s="103"/>
      <c r="AN432" s="103"/>
      <c r="AO432" s="103"/>
      <c r="AP432" s="103">
        <v>48</v>
      </c>
      <c r="AQ432" s="103"/>
      <c r="AR432" s="103"/>
      <c r="AS432" s="103"/>
      <c r="AT432" s="103"/>
      <c r="AU432" s="103"/>
      <c r="AV432" s="103"/>
      <c r="AW432" s="104" t="str">
        <f>HYPERLINK("http://www.openstreetmap.org/?mlat=33.6556&amp;mlon=44.2485&amp;zoom=12#map=12/33.6556/44.2485","Maplink1")</f>
        <v>Maplink1</v>
      </c>
      <c r="AX432" s="104" t="str">
        <f>HYPERLINK("https://www.google.iq/maps/search/+33.6556,44.2485/@33.6556,44.2485,14z?hl=en","Maplink2")</f>
        <v>Maplink2</v>
      </c>
      <c r="AY432" s="104" t="str">
        <f>HYPERLINK("http://www.bing.com/maps/?lvl=14&amp;sty=h&amp;cp=33.6556~44.2485&amp;sp=point.33.6556_44.2485","Maplink3")</f>
        <v>Maplink3</v>
      </c>
    </row>
    <row r="433" spans="1:51" x14ac:dyDescent="0.2">
      <c r="A433" s="102">
        <v>33478</v>
      </c>
      <c r="B433" s="103" t="s">
        <v>30</v>
      </c>
      <c r="C433" s="103" t="s">
        <v>88</v>
      </c>
      <c r="D433" s="103" t="s">
        <v>970</v>
      </c>
      <c r="E433" s="103" t="s">
        <v>971</v>
      </c>
      <c r="F433" s="103">
        <v>33.648361000000001</v>
      </c>
      <c r="G433" s="103">
        <v>44.234127758600003</v>
      </c>
      <c r="H433" s="102">
        <v>86</v>
      </c>
      <c r="I433" s="102">
        <v>516</v>
      </c>
      <c r="J433" s="103"/>
      <c r="K433" s="103"/>
      <c r="L433" s="103"/>
      <c r="M433" s="103">
        <v>82</v>
      </c>
      <c r="N433" s="103">
        <v>4</v>
      </c>
      <c r="O433" s="103"/>
      <c r="P433" s="103"/>
      <c r="Q433" s="103"/>
      <c r="R433" s="103"/>
      <c r="S433" s="103"/>
      <c r="T433" s="103"/>
      <c r="U433" s="103"/>
      <c r="V433" s="103"/>
      <c r="W433" s="103">
        <v>83</v>
      </c>
      <c r="X433" s="103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>
        <v>3</v>
      </c>
      <c r="AK433" s="103"/>
      <c r="AL433" s="103"/>
      <c r="AM433" s="103"/>
      <c r="AN433" s="103"/>
      <c r="AO433" s="103"/>
      <c r="AP433" s="103">
        <v>86</v>
      </c>
      <c r="AQ433" s="103"/>
      <c r="AR433" s="103"/>
      <c r="AS433" s="103"/>
      <c r="AT433" s="103"/>
      <c r="AU433" s="103"/>
      <c r="AV433" s="103"/>
      <c r="AW433" s="104" t="str">
        <f>HYPERLINK("http://www.openstreetmap.org/?mlat=33.6484&amp;mlon=44.2341&amp;zoom=12#map=12/33.6484/44.2341","Maplink1")</f>
        <v>Maplink1</v>
      </c>
      <c r="AX433" s="104" t="str">
        <f>HYPERLINK("https://www.google.iq/maps/search/+33.6484,44.2341/@33.6484,44.2341,14z?hl=en","Maplink2")</f>
        <v>Maplink2</v>
      </c>
      <c r="AY433" s="104" t="str">
        <f>HYPERLINK("http://www.bing.com/maps/?lvl=14&amp;sty=h&amp;cp=33.6484~44.2341&amp;sp=point.33.6484_44.2341","Maplink3")</f>
        <v>Maplink3</v>
      </c>
    </row>
    <row r="434" spans="1:51" x14ac:dyDescent="0.2">
      <c r="A434" s="102">
        <v>33595</v>
      </c>
      <c r="B434" s="103" t="s">
        <v>30</v>
      </c>
      <c r="C434" s="103" t="s">
        <v>88</v>
      </c>
      <c r="D434" s="103" t="s">
        <v>956</v>
      </c>
      <c r="E434" s="103" t="s">
        <v>957</v>
      </c>
      <c r="F434" s="103">
        <v>33.663811000000003</v>
      </c>
      <c r="G434" s="103">
        <v>44.237940616000003</v>
      </c>
      <c r="H434" s="102">
        <v>43</v>
      </c>
      <c r="I434" s="102">
        <v>258</v>
      </c>
      <c r="J434" s="103"/>
      <c r="K434" s="103"/>
      <c r="L434" s="103"/>
      <c r="M434" s="103">
        <v>39</v>
      </c>
      <c r="N434" s="103">
        <v>4</v>
      </c>
      <c r="O434" s="103"/>
      <c r="P434" s="103"/>
      <c r="Q434" s="103"/>
      <c r="R434" s="103"/>
      <c r="S434" s="103"/>
      <c r="T434" s="103"/>
      <c r="U434" s="103"/>
      <c r="V434" s="103"/>
      <c r="W434" s="103">
        <v>43</v>
      </c>
      <c r="X434" s="103"/>
      <c r="Y434" s="103"/>
      <c r="Z434" s="103"/>
      <c r="AA434" s="103"/>
      <c r="AB434" s="103"/>
      <c r="AC434" s="103"/>
      <c r="AD434" s="103"/>
      <c r="AE434" s="103"/>
      <c r="AF434" s="103"/>
      <c r="AG434" s="103"/>
      <c r="AH434" s="103"/>
      <c r="AI434" s="103"/>
      <c r="AJ434" s="103"/>
      <c r="AK434" s="103"/>
      <c r="AL434" s="103"/>
      <c r="AM434" s="103"/>
      <c r="AN434" s="103"/>
      <c r="AO434" s="103"/>
      <c r="AP434" s="103">
        <v>43</v>
      </c>
      <c r="AQ434" s="103"/>
      <c r="AR434" s="103"/>
      <c r="AS434" s="103"/>
      <c r="AT434" s="103"/>
      <c r="AU434" s="103"/>
      <c r="AV434" s="103"/>
      <c r="AW434" s="104" t="str">
        <f>HYPERLINK("http://www.openstreetmap.org/?mlat=33.6638&amp;mlon=44.2379&amp;zoom=12#map=12/33.6638/44.2379","Maplink1")</f>
        <v>Maplink1</v>
      </c>
      <c r="AX434" s="104" t="str">
        <f>HYPERLINK("https://www.google.iq/maps/search/+33.6638,44.2379/@33.6638,44.2379,14z?hl=en","Maplink2")</f>
        <v>Maplink2</v>
      </c>
      <c r="AY434" s="104" t="str">
        <f>HYPERLINK("http://www.bing.com/maps/?lvl=14&amp;sty=h&amp;cp=33.6638~44.2379&amp;sp=point.33.6638_44.2379","Maplink3")</f>
        <v>Maplink3</v>
      </c>
    </row>
    <row r="435" spans="1:51" x14ac:dyDescent="0.2">
      <c r="A435" s="102">
        <v>33765</v>
      </c>
      <c r="B435" s="103" t="s">
        <v>30</v>
      </c>
      <c r="C435" s="103" t="s">
        <v>88</v>
      </c>
      <c r="D435" s="103" t="s">
        <v>958</v>
      </c>
      <c r="E435" s="103" t="s">
        <v>959</v>
      </c>
      <c r="F435" s="103">
        <v>33.660468999999999</v>
      </c>
      <c r="G435" s="103">
        <v>44.164282999999998</v>
      </c>
      <c r="H435" s="102">
        <v>26</v>
      </c>
      <c r="I435" s="102">
        <v>156</v>
      </c>
      <c r="J435" s="103"/>
      <c r="K435" s="103"/>
      <c r="L435" s="103"/>
      <c r="M435" s="103">
        <v>24</v>
      </c>
      <c r="N435" s="103">
        <v>2</v>
      </c>
      <c r="O435" s="103"/>
      <c r="P435" s="103"/>
      <c r="Q435" s="103"/>
      <c r="R435" s="103"/>
      <c r="S435" s="103"/>
      <c r="T435" s="103"/>
      <c r="U435" s="103"/>
      <c r="V435" s="103"/>
      <c r="W435" s="103">
        <v>23</v>
      </c>
      <c r="X435" s="103"/>
      <c r="Y435" s="103"/>
      <c r="Z435" s="103"/>
      <c r="AA435" s="103">
        <v>3</v>
      </c>
      <c r="AB435" s="103"/>
      <c r="AC435" s="103"/>
      <c r="AD435" s="103"/>
      <c r="AE435" s="103"/>
      <c r="AF435" s="103"/>
      <c r="AG435" s="103"/>
      <c r="AH435" s="103"/>
      <c r="AI435" s="103"/>
      <c r="AJ435" s="103"/>
      <c r="AK435" s="103"/>
      <c r="AL435" s="103"/>
      <c r="AM435" s="103"/>
      <c r="AN435" s="103"/>
      <c r="AO435" s="103"/>
      <c r="AP435" s="103">
        <v>26</v>
      </c>
      <c r="AQ435" s="103"/>
      <c r="AR435" s="103"/>
      <c r="AS435" s="103"/>
      <c r="AT435" s="103"/>
      <c r="AU435" s="103"/>
      <c r="AV435" s="103"/>
      <c r="AW435" s="104" t="str">
        <f>HYPERLINK("http://www.openstreetmap.org/?mlat=33.6605&amp;mlon=44.1643&amp;zoom=12#map=12/33.6605/44.1643","Maplink1")</f>
        <v>Maplink1</v>
      </c>
      <c r="AX435" s="104" t="str">
        <f>HYPERLINK("https://www.google.iq/maps/search/+33.6605,44.1643/@33.6605,44.1643,14z?hl=en","Maplink2")</f>
        <v>Maplink2</v>
      </c>
      <c r="AY435" s="104" t="str">
        <f>HYPERLINK("http://www.bing.com/maps/?lvl=14&amp;sty=h&amp;cp=33.6605~44.1643&amp;sp=point.33.6605_44.1643","Maplink3")</f>
        <v>Maplink3</v>
      </c>
    </row>
    <row r="436" spans="1:51" x14ac:dyDescent="0.2">
      <c r="A436" s="102">
        <v>33512</v>
      </c>
      <c r="B436" s="103" t="s">
        <v>30</v>
      </c>
      <c r="C436" s="103" t="s">
        <v>88</v>
      </c>
      <c r="D436" s="103" t="s">
        <v>928</v>
      </c>
      <c r="E436" s="103" t="s">
        <v>929</v>
      </c>
      <c r="F436" s="103">
        <v>33.674249000000003</v>
      </c>
      <c r="G436" s="103">
        <v>44.183814252300003</v>
      </c>
      <c r="H436" s="102">
        <v>83</v>
      </c>
      <c r="I436" s="102">
        <v>498</v>
      </c>
      <c r="J436" s="103"/>
      <c r="K436" s="103"/>
      <c r="L436" s="103"/>
      <c r="M436" s="103">
        <v>83</v>
      </c>
      <c r="N436" s="103"/>
      <c r="O436" s="103"/>
      <c r="P436" s="103"/>
      <c r="Q436" s="103"/>
      <c r="R436" s="103"/>
      <c r="S436" s="103"/>
      <c r="T436" s="103"/>
      <c r="U436" s="103"/>
      <c r="V436" s="103"/>
      <c r="W436" s="103">
        <v>83</v>
      </c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103"/>
      <c r="AO436" s="103"/>
      <c r="AP436" s="103">
        <v>83</v>
      </c>
      <c r="AQ436" s="103"/>
      <c r="AR436" s="103"/>
      <c r="AS436" s="103"/>
      <c r="AT436" s="103"/>
      <c r="AU436" s="103"/>
      <c r="AV436" s="103"/>
      <c r="AW436" s="104" t="str">
        <f>HYPERLINK("http://www.openstreetmap.org/?mlat=33.6742&amp;mlon=44.1838&amp;zoom=12#map=12/33.6742/44.1838","Maplink1")</f>
        <v>Maplink1</v>
      </c>
      <c r="AX436" s="104" t="str">
        <f>HYPERLINK("https://www.google.iq/maps/search/+33.6742,44.1838/@33.6742,44.1838,14z?hl=en","Maplink2")</f>
        <v>Maplink2</v>
      </c>
      <c r="AY436" s="104" t="str">
        <f>HYPERLINK("http://www.bing.com/maps/?lvl=14&amp;sty=h&amp;cp=33.6742~44.1838&amp;sp=point.33.6742_44.1838","Maplink3")</f>
        <v>Maplink3</v>
      </c>
    </row>
    <row r="437" spans="1:51" x14ac:dyDescent="0.2">
      <c r="A437" s="102">
        <v>33766</v>
      </c>
      <c r="B437" s="103" t="s">
        <v>30</v>
      </c>
      <c r="C437" s="103" t="s">
        <v>88</v>
      </c>
      <c r="D437" s="103" t="s">
        <v>930</v>
      </c>
      <c r="E437" s="103" t="s">
        <v>931</v>
      </c>
      <c r="F437" s="103">
        <v>33.651898000000003</v>
      </c>
      <c r="G437" s="103">
        <v>44.117908</v>
      </c>
      <c r="H437" s="102">
        <v>28</v>
      </c>
      <c r="I437" s="102">
        <v>168</v>
      </c>
      <c r="J437" s="103"/>
      <c r="K437" s="103"/>
      <c r="L437" s="103"/>
      <c r="M437" s="103">
        <v>24</v>
      </c>
      <c r="N437" s="103">
        <v>4</v>
      </c>
      <c r="O437" s="103"/>
      <c r="P437" s="103"/>
      <c r="Q437" s="103"/>
      <c r="R437" s="103"/>
      <c r="S437" s="103"/>
      <c r="T437" s="103"/>
      <c r="U437" s="103"/>
      <c r="V437" s="103"/>
      <c r="W437" s="103">
        <v>28</v>
      </c>
      <c r="X437" s="103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/>
      <c r="AL437" s="103"/>
      <c r="AM437" s="103"/>
      <c r="AN437" s="103"/>
      <c r="AO437" s="103"/>
      <c r="AP437" s="103">
        <v>28</v>
      </c>
      <c r="AQ437" s="103"/>
      <c r="AR437" s="103"/>
      <c r="AS437" s="103"/>
      <c r="AT437" s="103"/>
      <c r="AU437" s="103"/>
      <c r="AV437" s="103"/>
      <c r="AW437" s="104" t="str">
        <f>HYPERLINK("http://www.openstreetmap.org/?mlat=33.6519&amp;mlon=44.1179&amp;zoom=12#map=12/33.6519/44.1179","Maplink1")</f>
        <v>Maplink1</v>
      </c>
      <c r="AX437" s="104" t="str">
        <f>HYPERLINK("https://www.google.iq/maps/search/+33.6519,44.1179/@33.6519,44.1179,14z?hl=en","Maplink2")</f>
        <v>Maplink2</v>
      </c>
      <c r="AY437" s="104" t="str">
        <f>HYPERLINK("http://www.bing.com/maps/?lvl=14&amp;sty=h&amp;cp=33.6519~44.1179&amp;sp=point.33.6519_44.1179","Maplink3")</f>
        <v>Maplink3</v>
      </c>
    </row>
    <row r="438" spans="1:51" x14ac:dyDescent="0.2">
      <c r="A438" s="102">
        <v>33513</v>
      </c>
      <c r="B438" s="103" t="s">
        <v>30</v>
      </c>
      <c r="C438" s="103" t="s">
        <v>88</v>
      </c>
      <c r="D438" s="103" t="s">
        <v>942</v>
      </c>
      <c r="E438" s="103" t="s">
        <v>943</v>
      </c>
      <c r="F438" s="103">
        <v>33.729284</v>
      </c>
      <c r="G438" s="103">
        <v>44.238492297100002</v>
      </c>
      <c r="H438" s="102">
        <v>81</v>
      </c>
      <c r="I438" s="102">
        <v>486</v>
      </c>
      <c r="J438" s="103"/>
      <c r="K438" s="103"/>
      <c r="L438" s="103"/>
      <c r="M438" s="103">
        <v>81</v>
      </c>
      <c r="N438" s="103"/>
      <c r="O438" s="103"/>
      <c r="P438" s="103"/>
      <c r="Q438" s="103"/>
      <c r="R438" s="103"/>
      <c r="S438" s="103"/>
      <c r="T438" s="103"/>
      <c r="U438" s="103"/>
      <c r="V438" s="103"/>
      <c r="W438" s="103">
        <v>81</v>
      </c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/>
      <c r="AJ438" s="103"/>
      <c r="AK438" s="103"/>
      <c r="AL438" s="103"/>
      <c r="AM438" s="103"/>
      <c r="AN438" s="103"/>
      <c r="AO438" s="103"/>
      <c r="AP438" s="103">
        <v>81</v>
      </c>
      <c r="AQ438" s="103"/>
      <c r="AR438" s="103"/>
      <c r="AS438" s="103"/>
      <c r="AT438" s="103"/>
      <c r="AU438" s="103"/>
      <c r="AV438" s="103"/>
      <c r="AW438" s="104" t="str">
        <f>HYPERLINK("http://www.openstreetmap.org/?mlat=33.7293&amp;mlon=44.2385&amp;zoom=12#map=12/33.7293/44.2385","Maplink1")</f>
        <v>Maplink1</v>
      </c>
      <c r="AX438" s="104" t="str">
        <f>HYPERLINK("https://www.google.iq/maps/search/+33.7293,44.2385/@33.7293,44.2385,14z?hl=en","Maplink2")</f>
        <v>Maplink2</v>
      </c>
      <c r="AY438" s="104" t="str">
        <f>HYPERLINK("http://www.bing.com/maps/?lvl=14&amp;sty=h&amp;cp=33.7293~44.2385&amp;sp=point.33.7293_44.2385","Maplink3")</f>
        <v>Maplink3</v>
      </c>
    </row>
    <row r="439" spans="1:51" x14ac:dyDescent="0.2">
      <c r="A439" s="102">
        <v>33524</v>
      </c>
      <c r="B439" s="103" t="s">
        <v>30</v>
      </c>
      <c r="C439" s="103" t="s">
        <v>88</v>
      </c>
      <c r="D439" s="103" t="s">
        <v>926</v>
      </c>
      <c r="E439" s="103" t="s">
        <v>927</v>
      </c>
      <c r="F439" s="103">
        <v>33.631607000000002</v>
      </c>
      <c r="G439" s="103">
        <v>44.233229796099998</v>
      </c>
      <c r="H439" s="102">
        <v>85</v>
      </c>
      <c r="I439" s="102">
        <v>510</v>
      </c>
      <c r="J439" s="103"/>
      <c r="K439" s="103"/>
      <c r="L439" s="103"/>
      <c r="M439" s="103">
        <v>79</v>
      </c>
      <c r="N439" s="103">
        <v>6</v>
      </c>
      <c r="O439" s="103"/>
      <c r="P439" s="103"/>
      <c r="Q439" s="103"/>
      <c r="R439" s="103"/>
      <c r="S439" s="103"/>
      <c r="T439" s="103"/>
      <c r="U439" s="103"/>
      <c r="V439" s="103"/>
      <c r="W439" s="103">
        <v>80</v>
      </c>
      <c r="X439" s="103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/>
      <c r="AJ439" s="103">
        <v>5</v>
      </c>
      <c r="AK439" s="103"/>
      <c r="AL439" s="103"/>
      <c r="AM439" s="103"/>
      <c r="AN439" s="103"/>
      <c r="AO439" s="103"/>
      <c r="AP439" s="103">
        <v>85</v>
      </c>
      <c r="AQ439" s="103"/>
      <c r="AR439" s="103"/>
      <c r="AS439" s="103"/>
      <c r="AT439" s="103"/>
      <c r="AU439" s="103"/>
      <c r="AV439" s="103"/>
      <c r="AW439" s="104" t="str">
        <f>HYPERLINK("http://www.openstreetmap.org/?mlat=33.6316&amp;mlon=44.2332&amp;zoom=12#map=12/33.6316/44.2332","Maplink1")</f>
        <v>Maplink1</v>
      </c>
      <c r="AX439" s="104" t="str">
        <f>HYPERLINK("https://www.google.iq/maps/search/+33.6316,44.2332/@33.6316,44.2332,14z?hl=en","Maplink2")</f>
        <v>Maplink2</v>
      </c>
      <c r="AY439" s="104" t="str">
        <f>HYPERLINK("http://www.bing.com/maps/?lvl=14&amp;sty=h&amp;cp=33.6316~44.2332&amp;sp=point.33.6316_44.2332","Maplink3")</f>
        <v>Maplink3</v>
      </c>
    </row>
    <row r="440" spans="1:51" x14ac:dyDescent="0.2">
      <c r="A440" s="102">
        <v>33965</v>
      </c>
      <c r="B440" s="103" t="s">
        <v>30</v>
      </c>
      <c r="C440" s="103" t="s">
        <v>88</v>
      </c>
      <c r="D440" s="103" t="s">
        <v>950</v>
      </c>
      <c r="E440" s="103" t="s">
        <v>951</v>
      </c>
      <c r="F440" s="103">
        <v>33.729619</v>
      </c>
      <c r="G440" s="103">
        <v>44.257767229999999</v>
      </c>
      <c r="H440" s="102">
        <v>18</v>
      </c>
      <c r="I440" s="102">
        <v>108</v>
      </c>
      <c r="J440" s="103"/>
      <c r="K440" s="103"/>
      <c r="L440" s="103"/>
      <c r="M440" s="103">
        <v>12</v>
      </c>
      <c r="N440" s="103">
        <v>6</v>
      </c>
      <c r="O440" s="103"/>
      <c r="P440" s="103"/>
      <c r="Q440" s="103"/>
      <c r="R440" s="103"/>
      <c r="S440" s="103"/>
      <c r="T440" s="103"/>
      <c r="U440" s="103"/>
      <c r="V440" s="103"/>
      <c r="W440" s="103">
        <v>18</v>
      </c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/>
      <c r="AJ440" s="103"/>
      <c r="AK440" s="103"/>
      <c r="AL440" s="103"/>
      <c r="AM440" s="103"/>
      <c r="AN440" s="103"/>
      <c r="AO440" s="103"/>
      <c r="AP440" s="103">
        <v>18</v>
      </c>
      <c r="AQ440" s="103"/>
      <c r="AR440" s="103"/>
      <c r="AS440" s="103"/>
      <c r="AT440" s="103"/>
      <c r="AU440" s="103"/>
      <c r="AV440" s="103"/>
      <c r="AW440" s="104" t="str">
        <f>HYPERLINK("http://www.openstreetmap.org/?mlat=33.7296&amp;mlon=44.2578&amp;zoom=12#map=12/33.7296/44.2578","Maplink1")</f>
        <v>Maplink1</v>
      </c>
      <c r="AX440" s="104" t="str">
        <f>HYPERLINK("https://www.google.iq/maps/search/+33.7296,44.2578/@33.7296,44.2578,14z?hl=en","Maplink2")</f>
        <v>Maplink2</v>
      </c>
      <c r="AY440" s="104" t="str">
        <f>HYPERLINK("http://www.bing.com/maps/?lvl=14&amp;sty=h&amp;cp=33.7296~44.2578&amp;sp=point.33.7296_44.2578","Maplink3")</f>
        <v>Maplink3</v>
      </c>
    </row>
    <row r="441" spans="1:51" x14ac:dyDescent="0.2">
      <c r="A441" s="102">
        <v>33764</v>
      </c>
      <c r="B441" s="103" t="s">
        <v>30</v>
      </c>
      <c r="C441" s="103" t="s">
        <v>88</v>
      </c>
      <c r="D441" s="103" t="s">
        <v>922</v>
      </c>
      <c r="E441" s="103" t="s">
        <v>923</v>
      </c>
      <c r="F441" s="103">
        <v>33.674171000000001</v>
      </c>
      <c r="G441" s="103">
        <v>44.142629999999997</v>
      </c>
      <c r="H441" s="102">
        <v>33</v>
      </c>
      <c r="I441" s="102">
        <v>198</v>
      </c>
      <c r="J441" s="103"/>
      <c r="K441" s="103"/>
      <c r="L441" s="103"/>
      <c r="M441" s="103">
        <v>33</v>
      </c>
      <c r="N441" s="103"/>
      <c r="O441" s="103"/>
      <c r="P441" s="103"/>
      <c r="Q441" s="103"/>
      <c r="R441" s="103"/>
      <c r="S441" s="103"/>
      <c r="T441" s="103"/>
      <c r="U441" s="103"/>
      <c r="V441" s="103"/>
      <c r="W441" s="103">
        <v>33</v>
      </c>
      <c r="X441" s="103"/>
      <c r="Y441" s="103"/>
      <c r="Z441" s="103"/>
      <c r="AA441" s="103"/>
      <c r="AB441" s="103"/>
      <c r="AC441" s="103"/>
      <c r="AD441" s="103"/>
      <c r="AE441" s="103"/>
      <c r="AF441" s="103"/>
      <c r="AG441" s="103"/>
      <c r="AH441" s="103"/>
      <c r="AI441" s="103"/>
      <c r="AJ441" s="103"/>
      <c r="AK441" s="103"/>
      <c r="AL441" s="103"/>
      <c r="AM441" s="103"/>
      <c r="AN441" s="103"/>
      <c r="AO441" s="103"/>
      <c r="AP441" s="103">
        <v>33</v>
      </c>
      <c r="AQ441" s="103"/>
      <c r="AR441" s="103"/>
      <c r="AS441" s="103"/>
      <c r="AT441" s="103"/>
      <c r="AU441" s="103"/>
      <c r="AV441" s="103"/>
      <c r="AW441" s="104" t="str">
        <f>HYPERLINK("http://www.openstreetmap.org/?mlat=33.6742&amp;mlon=44.1426&amp;zoom=12#map=12/33.6742/44.1426","Maplink1")</f>
        <v>Maplink1</v>
      </c>
      <c r="AX441" s="104" t="str">
        <f>HYPERLINK("https://www.google.iq/maps/search/+33.6742,44.1426/@33.6742,44.1426,14z?hl=en","Maplink2")</f>
        <v>Maplink2</v>
      </c>
      <c r="AY441" s="104" t="str">
        <f>HYPERLINK("http://www.bing.com/maps/?lvl=14&amp;sty=h&amp;cp=33.6742~44.1426&amp;sp=point.33.6742_44.1426","Maplink3")</f>
        <v>Maplink3</v>
      </c>
    </row>
    <row r="442" spans="1:51" x14ac:dyDescent="0.2">
      <c r="A442" s="102">
        <v>33479</v>
      </c>
      <c r="B442" s="103" t="s">
        <v>30</v>
      </c>
      <c r="C442" s="103" t="s">
        <v>88</v>
      </c>
      <c r="D442" s="103" t="s">
        <v>960</v>
      </c>
      <c r="E442" s="103" t="s">
        <v>961</v>
      </c>
      <c r="F442" s="103">
        <v>33.650835000000001</v>
      </c>
      <c r="G442" s="103">
        <v>44.237425452499998</v>
      </c>
      <c r="H442" s="102">
        <v>71</v>
      </c>
      <c r="I442" s="102">
        <v>426</v>
      </c>
      <c r="J442" s="103"/>
      <c r="K442" s="103"/>
      <c r="L442" s="103"/>
      <c r="M442" s="103">
        <v>63</v>
      </c>
      <c r="N442" s="103">
        <v>8</v>
      </c>
      <c r="O442" s="103"/>
      <c r="P442" s="103"/>
      <c r="Q442" s="103"/>
      <c r="R442" s="103"/>
      <c r="S442" s="103"/>
      <c r="T442" s="103"/>
      <c r="U442" s="103"/>
      <c r="V442" s="103"/>
      <c r="W442" s="103">
        <v>71</v>
      </c>
      <c r="X442" s="103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3"/>
      <c r="AM442" s="103"/>
      <c r="AN442" s="103"/>
      <c r="AO442" s="103"/>
      <c r="AP442" s="103">
        <v>71</v>
      </c>
      <c r="AQ442" s="103"/>
      <c r="AR442" s="103"/>
      <c r="AS442" s="103"/>
      <c r="AT442" s="103"/>
      <c r="AU442" s="103"/>
      <c r="AV442" s="103"/>
      <c r="AW442" s="104" t="str">
        <f>HYPERLINK("http://www.openstreetmap.org/?mlat=33.6508&amp;mlon=44.2374&amp;zoom=12#map=12/33.6508/44.2374","Maplink1")</f>
        <v>Maplink1</v>
      </c>
      <c r="AX442" s="104" t="str">
        <f>HYPERLINK("https://www.google.iq/maps/search/+33.6508,44.2374/@33.6508,44.2374,14z?hl=en","Maplink2")</f>
        <v>Maplink2</v>
      </c>
      <c r="AY442" s="104" t="str">
        <f>HYPERLINK("http://www.bing.com/maps/?lvl=14&amp;sty=h&amp;cp=33.6508~44.2374&amp;sp=point.33.6508_44.2374","Maplink3")</f>
        <v>Maplink3</v>
      </c>
    </row>
    <row r="443" spans="1:51" x14ac:dyDescent="0.2">
      <c r="A443" s="102">
        <v>33468</v>
      </c>
      <c r="B443" s="103" t="s">
        <v>30</v>
      </c>
      <c r="C443" s="103" t="s">
        <v>88</v>
      </c>
      <c r="D443" s="103" t="s">
        <v>944</v>
      </c>
      <c r="E443" s="103" t="s">
        <v>945</v>
      </c>
      <c r="F443" s="103">
        <v>33.628196000000003</v>
      </c>
      <c r="G443" s="103">
        <v>44.174345705199997</v>
      </c>
      <c r="H443" s="102">
        <v>51</v>
      </c>
      <c r="I443" s="102">
        <v>306</v>
      </c>
      <c r="J443" s="103"/>
      <c r="K443" s="103"/>
      <c r="L443" s="103"/>
      <c r="M443" s="103">
        <v>47</v>
      </c>
      <c r="N443" s="103">
        <v>4</v>
      </c>
      <c r="O443" s="103"/>
      <c r="P443" s="103"/>
      <c r="Q443" s="103"/>
      <c r="R443" s="103"/>
      <c r="S443" s="103"/>
      <c r="T443" s="103"/>
      <c r="U443" s="103"/>
      <c r="V443" s="103"/>
      <c r="W443" s="103">
        <v>51</v>
      </c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103"/>
      <c r="AO443" s="103"/>
      <c r="AP443" s="103">
        <v>51</v>
      </c>
      <c r="AQ443" s="103"/>
      <c r="AR443" s="103"/>
      <c r="AS443" s="103"/>
      <c r="AT443" s="103"/>
      <c r="AU443" s="103"/>
      <c r="AV443" s="103"/>
      <c r="AW443" s="104" t="str">
        <f>HYPERLINK("http://www.openstreetmap.org/?mlat=33.6282&amp;mlon=44.1743&amp;zoom=12#map=12/33.6282/44.1743","Maplink1")</f>
        <v>Maplink1</v>
      </c>
      <c r="AX443" s="104" t="str">
        <f>HYPERLINK("https://www.google.iq/maps/search/+33.6282,44.1743/@33.6282,44.1743,14z?hl=en","Maplink2")</f>
        <v>Maplink2</v>
      </c>
      <c r="AY443" s="104" t="str">
        <f>HYPERLINK("http://www.bing.com/maps/?lvl=14&amp;sty=h&amp;cp=33.6282~44.1743&amp;sp=point.33.6282_44.1743","Maplink3")</f>
        <v>Maplink3</v>
      </c>
    </row>
    <row r="444" spans="1:51" x14ac:dyDescent="0.2">
      <c r="A444" s="102">
        <v>7467</v>
      </c>
      <c r="B444" s="103" t="s">
        <v>30</v>
      </c>
      <c r="C444" s="103" t="s">
        <v>88</v>
      </c>
      <c r="D444" s="103" t="s">
        <v>946</v>
      </c>
      <c r="E444" s="103" t="s">
        <v>947</v>
      </c>
      <c r="F444" s="103">
        <v>33.643749999999997</v>
      </c>
      <c r="G444" s="103">
        <v>44.235900412600003</v>
      </c>
      <c r="H444" s="102">
        <v>88</v>
      </c>
      <c r="I444" s="102">
        <v>528</v>
      </c>
      <c r="J444" s="103"/>
      <c r="K444" s="103"/>
      <c r="L444" s="103"/>
      <c r="M444" s="103">
        <v>84</v>
      </c>
      <c r="N444" s="103">
        <v>4</v>
      </c>
      <c r="O444" s="103"/>
      <c r="P444" s="103"/>
      <c r="Q444" s="103"/>
      <c r="R444" s="103"/>
      <c r="S444" s="103"/>
      <c r="T444" s="103"/>
      <c r="U444" s="103"/>
      <c r="V444" s="103"/>
      <c r="W444" s="103">
        <v>88</v>
      </c>
      <c r="X444" s="103"/>
      <c r="Y444" s="103"/>
      <c r="Z444" s="103"/>
      <c r="AA444" s="103"/>
      <c r="AB444" s="103"/>
      <c r="AC444" s="103"/>
      <c r="AD444" s="103"/>
      <c r="AE444" s="103"/>
      <c r="AF444" s="103"/>
      <c r="AG444" s="103"/>
      <c r="AH444" s="103"/>
      <c r="AI444" s="103"/>
      <c r="AJ444" s="103"/>
      <c r="AK444" s="103"/>
      <c r="AL444" s="103"/>
      <c r="AM444" s="103"/>
      <c r="AN444" s="103"/>
      <c r="AO444" s="103"/>
      <c r="AP444" s="103">
        <v>88</v>
      </c>
      <c r="AQ444" s="103"/>
      <c r="AR444" s="103"/>
      <c r="AS444" s="103"/>
      <c r="AT444" s="103"/>
      <c r="AU444" s="103"/>
      <c r="AV444" s="103"/>
      <c r="AW444" s="104" t="str">
        <f>HYPERLINK("http://www.openstreetmap.org/?mlat=33.6437&amp;mlon=44.2359&amp;zoom=12#map=12/33.6437/44.2359","Maplink1")</f>
        <v>Maplink1</v>
      </c>
      <c r="AX444" s="104" t="str">
        <f>HYPERLINK("https://www.google.iq/maps/search/+33.6437,44.2359/@33.6437,44.2359,14z?hl=en","Maplink2")</f>
        <v>Maplink2</v>
      </c>
      <c r="AY444" s="104" t="str">
        <f>HYPERLINK("http://www.bing.com/maps/?lvl=14&amp;sty=h&amp;cp=33.6437~44.2359&amp;sp=point.33.6437_44.2359","Maplink3")</f>
        <v>Maplink3</v>
      </c>
    </row>
    <row r="445" spans="1:51" x14ac:dyDescent="0.2">
      <c r="A445" s="102">
        <v>33511</v>
      </c>
      <c r="B445" s="103" t="s">
        <v>30</v>
      </c>
      <c r="C445" s="103" t="s">
        <v>88</v>
      </c>
      <c r="D445" s="103" t="s">
        <v>924</v>
      </c>
      <c r="E445" s="103" t="s">
        <v>925</v>
      </c>
      <c r="F445" s="103">
        <v>33.687809999999999</v>
      </c>
      <c r="G445" s="103">
        <v>44.240271245599999</v>
      </c>
      <c r="H445" s="102">
        <v>91</v>
      </c>
      <c r="I445" s="102">
        <v>546</v>
      </c>
      <c r="J445" s="103"/>
      <c r="K445" s="103"/>
      <c r="L445" s="103"/>
      <c r="M445" s="103">
        <v>91</v>
      </c>
      <c r="N445" s="103"/>
      <c r="O445" s="103"/>
      <c r="P445" s="103"/>
      <c r="Q445" s="103"/>
      <c r="R445" s="103"/>
      <c r="S445" s="103"/>
      <c r="T445" s="103"/>
      <c r="U445" s="103"/>
      <c r="V445" s="103"/>
      <c r="W445" s="103">
        <v>91</v>
      </c>
      <c r="X445" s="103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3"/>
      <c r="AM445" s="103"/>
      <c r="AN445" s="103"/>
      <c r="AO445" s="103"/>
      <c r="AP445" s="103">
        <v>91</v>
      </c>
      <c r="AQ445" s="103"/>
      <c r="AR445" s="103"/>
      <c r="AS445" s="103"/>
      <c r="AT445" s="103"/>
      <c r="AU445" s="103"/>
      <c r="AV445" s="103"/>
      <c r="AW445" s="104" t="str">
        <f>HYPERLINK("http://www.openstreetmap.org/?mlat=33.6878&amp;mlon=44.2403&amp;zoom=12#map=12/33.6878/44.2403","Maplink1")</f>
        <v>Maplink1</v>
      </c>
      <c r="AX445" s="104" t="str">
        <f>HYPERLINK("https://www.google.iq/maps/search/+33.6878,44.2403/@33.6878,44.2403,14z?hl=en","Maplink2")</f>
        <v>Maplink2</v>
      </c>
      <c r="AY445" s="104" t="str">
        <f>HYPERLINK("http://www.bing.com/maps/?lvl=14&amp;sty=h&amp;cp=33.6878~44.2403&amp;sp=point.33.6878_44.2403","Maplink3")</f>
        <v>Maplink3</v>
      </c>
    </row>
    <row r="446" spans="1:51" x14ac:dyDescent="0.2">
      <c r="A446" s="102">
        <v>23620</v>
      </c>
      <c r="B446" s="103" t="s">
        <v>31</v>
      </c>
      <c r="C446" s="103" t="s">
        <v>89</v>
      </c>
      <c r="D446" s="103" t="s">
        <v>986</v>
      </c>
      <c r="E446" s="103" t="s">
        <v>987</v>
      </c>
      <c r="F446" s="103">
        <v>37.067288131700003</v>
      </c>
      <c r="G446" s="103">
        <v>42.376862309800003</v>
      </c>
      <c r="H446" s="102">
        <v>128</v>
      </c>
      <c r="I446" s="102">
        <v>768</v>
      </c>
      <c r="J446" s="103"/>
      <c r="K446" s="103"/>
      <c r="L446" s="103"/>
      <c r="M446" s="103">
        <v>128</v>
      </c>
      <c r="N446" s="103"/>
      <c r="O446" s="103"/>
      <c r="P446" s="103"/>
      <c r="Q446" s="103"/>
      <c r="R446" s="103"/>
      <c r="S446" s="103"/>
      <c r="T446" s="103"/>
      <c r="U446" s="103"/>
      <c r="V446" s="103"/>
      <c r="W446" s="103"/>
      <c r="X446" s="103"/>
      <c r="Y446" s="103">
        <v>128</v>
      </c>
      <c r="Z446" s="103"/>
      <c r="AA446" s="103"/>
      <c r="AB446" s="103"/>
      <c r="AC446" s="103"/>
      <c r="AD446" s="103"/>
      <c r="AE446" s="103"/>
      <c r="AF446" s="103"/>
      <c r="AG446" s="103"/>
      <c r="AH446" s="103"/>
      <c r="AI446" s="103"/>
      <c r="AJ446" s="103"/>
      <c r="AK446" s="103"/>
      <c r="AL446" s="103"/>
      <c r="AM446" s="103"/>
      <c r="AN446" s="103"/>
      <c r="AO446" s="103"/>
      <c r="AP446" s="103"/>
      <c r="AQ446" s="103"/>
      <c r="AR446" s="103"/>
      <c r="AS446" s="103"/>
      <c r="AT446" s="103">
        <v>128</v>
      </c>
      <c r="AU446" s="103"/>
      <c r="AV446" s="103"/>
      <c r="AW446" s="104" t="str">
        <f>HYPERLINK("http://www.openstreetmap.org/?mlat=37.0673&amp;mlon=42.3769&amp;zoom=12#map=12/37.0673/42.3769","Maplink1")</f>
        <v>Maplink1</v>
      </c>
      <c r="AX446" s="104" t="str">
        <f>HYPERLINK("https://www.google.iq/maps/search/+37.0673,42.3769/@37.0673,42.3769,14z?hl=en","Maplink2")</f>
        <v>Maplink2</v>
      </c>
      <c r="AY446" s="104" t="str">
        <f>HYPERLINK("http://www.bing.com/maps/?lvl=14&amp;sty=h&amp;cp=37.0673~42.3769&amp;sp=point.37.0673_42.3769","Maplink3")</f>
        <v>Maplink3</v>
      </c>
    </row>
    <row r="447" spans="1:51" x14ac:dyDescent="0.2">
      <c r="A447" s="102">
        <v>25670</v>
      </c>
      <c r="B447" s="103" t="s">
        <v>32</v>
      </c>
      <c r="C447" s="103" t="s">
        <v>90</v>
      </c>
      <c r="D447" s="103" t="s">
        <v>1062</v>
      </c>
      <c r="E447" s="103" t="s">
        <v>1063</v>
      </c>
      <c r="F447" s="103">
        <v>34.075144657899997</v>
      </c>
      <c r="G447" s="103">
        <v>44.7781862975</v>
      </c>
      <c r="H447" s="102">
        <v>65</v>
      </c>
      <c r="I447" s="102">
        <v>390</v>
      </c>
      <c r="J447" s="103"/>
      <c r="K447" s="103"/>
      <c r="L447" s="103"/>
      <c r="M447" s="103">
        <v>65</v>
      </c>
      <c r="N447" s="103"/>
      <c r="O447" s="103"/>
      <c r="P447" s="103"/>
      <c r="Q447" s="103"/>
      <c r="R447" s="103"/>
      <c r="S447" s="103"/>
      <c r="T447" s="103"/>
      <c r="U447" s="103"/>
      <c r="V447" s="103"/>
      <c r="W447" s="103"/>
      <c r="X447" s="103"/>
      <c r="Y447" s="103"/>
      <c r="Z447" s="103">
        <v>57</v>
      </c>
      <c r="AA447" s="103"/>
      <c r="AB447" s="103"/>
      <c r="AC447" s="103">
        <v>8</v>
      </c>
      <c r="AD447" s="103"/>
      <c r="AE447" s="103"/>
      <c r="AF447" s="103"/>
      <c r="AG447" s="103"/>
      <c r="AH447" s="103"/>
      <c r="AI447" s="103"/>
      <c r="AJ447" s="103"/>
      <c r="AK447" s="103"/>
      <c r="AL447" s="103"/>
      <c r="AM447" s="103"/>
      <c r="AN447" s="103">
        <v>65</v>
      </c>
      <c r="AO447" s="103"/>
      <c r="AP447" s="103"/>
      <c r="AQ447" s="103"/>
      <c r="AR447" s="103"/>
      <c r="AS447" s="103"/>
      <c r="AT447" s="103"/>
      <c r="AU447" s="103"/>
      <c r="AV447" s="103"/>
      <c r="AW447" s="104" t="str">
        <f>HYPERLINK("http://www.openstreetmap.org/?mlat=34.0751&amp;mlon=44.7782&amp;zoom=12#map=12/34.0751/44.7782","Maplink1")</f>
        <v>Maplink1</v>
      </c>
      <c r="AX447" s="104" t="str">
        <f>HYPERLINK("https://www.google.iq/maps/search/+34.0751,44.7782/@34.0751,44.7782,14z?hl=en","Maplink2")</f>
        <v>Maplink2</v>
      </c>
      <c r="AY447" s="104" t="str">
        <f>HYPERLINK("http://www.bing.com/maps/?lvl=14&amp;sty=h&amp;cp=34.0751~44.7782&amp;sp=point.34.0751_44.7782","Maplink3")</f>
        <v>Maplink3</v>
      </c>
    </row>
    <row r="448" spans="1:51" x14ac:dyDescent="0.2">
      <c r="A448" s="102">
        <v>27178</v>
      </c>
      <c r="B448" s="103" t="s">
        <v>32</v>
      </c>
      <c r="C448" s="103" t="s">
        <v>90</v>
      </c>
      <c r="D448" s="103" t="s">
        <v>1064</v>
      </c>
      <c r="E448" s="103" t="s">
        <v>1065</v>
      </c>
      <c r="F448" s="103">
        <v>34.034518274</v>
      </c>
      <c r="G448" s="103">
        <v>44.368843975700003</v>
      </c>
      <c r="H448" s="102">
        <v>45</v>
      </c>
      <c r="I448" s="102">
        <v>270</v>
      </c>
      <c r="J448" s="103"/>
      <c r="K448" s="103"/>
      <c r="L448" s="103"/>
      <c r="M448" s="103">
        <v>36</v>
      </c>
      <c r="N448" s="103">
        <v>9</v>
      </c>
      <c r="O448" s="103"/>
      <c r="P448" s="103"/>
      <c r="Q448" s="103"/>
      <c r="R448" s="103"/>
      <c r="S448" s="103"/>
      <c r="T448" s="103"/>
      <c r="U448" s="103"/>
      <c r="V448" s="103"/>
      <c r="W448" s="103"/>
      <c r="X448" s="103"/>
      <c r="Y448" s="103"/>
      <c r="Z448" s="103">
        <v>15</v>
      </c>
      <c r="AA448" s="103"/>
      <c r="AB448" s="103"/>
      <c r="AC448" s="103">
        <v>30</v>
      </c>
      <c r="AD448" s="103"/>
      <c r="AE448" s="103"/>
      <c r="AF448" s="103"/>
      <c r="AG448" s="103"/>
      <c r="AH448" s="103"/>
      <c r="AI448" s="103"/>
      <c r="AJ448" s="103"/>
      <c r="AK448" s="103"/>
      <c r="AL448" s="103"/>
      <c r="AM448" s="103"/>
      <c r="AN448" s="103">
        <v>45</v>
      </c>
      <c r="AO448" s="103"/>
      <c r="AP448" s="103"/>
      <c r="AQ448" s="103"/>
      <c r="AR448" s="103"/>
      <c r="AS448" s="103"/>
      <c r="AT448" s="103"/>
      <c r="AU448" s="103"/>
      <c r="AV448" s="103"/>
      <c r="AW448" s="104" t="str">
        <f>HYPERLINK("http://www.openstreetmap.org/?mlat=34.0345&amp;mlon=44.3688&amp;zoom=12#map=12/34.0345/44.3688","Maplink1")</f>
        <v>Maplink1</v>
      </c>
      <c r="AX448" s="104" t="str">
        <f>HYPERLINK("https://www.google.iq/maps/search/+34.0345,44.3688/@34.0345,44.3688,14z?hl=en","Maplink2")</f>
        <v>Maplink2</v>
      </c>
      <c r="AY448" s="104" t="str">
        <f>HYPERLINK("http://www.bing.com/maps/?lvl=14&amp;sty=h&amp;cp=34.0345~44.3688&amp;sp=point.34.0345_44.3688","Maplink3")</f>
        <v>Maplink3</v>
      </c>
    </row>
    <row r="449" spans="1:51" x14ac:dyDescent="0.2">
      <c r="A449" s="102">
        <v>28466</v>
      </c>
      <c r="B449" s="103" t="s">
        <v>32</v>
      </c>
      <c r="C449" s="103" t="s">
        <v>90</v>
      </c>
      <c r="D449" s="103" t="s">
        <v>1151</v>
      </c>
      <c r="E449" s="103" t="s">
        <v>1152</v>
      </c>
      <c r="F449" s="103">
        <v>34.364307144500003</v>
      </c>
      <c r="G449" s="103">
        <v>44.560219718399999</v>
      </c>
      <c r="H449" s="102">
        <v>25</v>
      </c>
      <c r="I449" s="102">
        <v>150</v>
      </c>
      <c r="J449" s="103"/>
      <c r="K449" s="103"/>
      <c r="L449" s="103"/>
      <c r="M449" s="103">
        <v>25</v>
      </c>
      <c r="N449" s="103"/>
      <c r="O449" s="103"/>
      <c r="P449" s="103"/>
      <c r="Q449" s="103"/>
      <c r="R449" s="103"/>
      <c r="S449" s="103"/>
      <c r="T449" s="103"/>
      <c r="U449" s="103"/>
      <c r="V449" s="103"/>
      <c r="W449" s="103"/>
      <c r="X449" s="103"/>
      <c r="Y449" s="103"/>
      <c r="Z449" s="103">
        <v>25</v>
      </c>
      <c r="AA449" s="103"/>
      <c r="AB449" s="103"/>
      <c r="AC449" s="103"/>
      <c r="AD449" s="103"/>
      <c r="AE449" s="103"/>
      <c r="AF449" s="103"/>
      <c r="AG449" s="103"/>
      <c r="AH449" s="103"/>
      <c r="AI449" s="103"/>
      <c r="AJ449" s="103"/>
      <c r="AK449" s="103"/>
      <c r="AL449" s="103"/>
      <c r="AM449" s="103"/>
      <c r="AN449" s="103">
        <v>25</v>
      </c>
      <c r="AO449" s="103"/>
      <c r="AP449" s="103"/>
      <c r="AQ449" s="103"/>
      <c r="AR449" s="103"/>
      <c r="AS449" s="103"/>
      <c r="AT449" s="103"/>
      <c r="AU449" s="103"/>
      <c r="AV449" s="103"/>
      <c r="AW449" s="104" t="str">
        <f>HYPERLINK("http://www.openstreetmap.org/?mlat=34.3643&amp;mlon=44.5602&amp;zoom=12#map=12/34.3643/44.5602","Maplink1")</f>
        <v>Maplink1</v>
      </c>
      <c r="AX449" s="104" t="str">
        <f>HYPERLINK("https://www.google.iq/maps/search/+34.3643,44.5602/@34.3643,44.5602,14z?hl=en","Maplink2")</f>
        <v>Maplink2</v>
      </c>
      <c r="AY449" s="104" t="str">
        <f>HYPERLINK("http://www.bing.com/maps/?lvl=14&amp;sty=h&amp;cp=34.3643~44.5602&amp;sp=point.34.3643_44.5602","Maplink3")</f>
        <v>Maplink3</v>
      </c>
    </row>
    <row r="450" spans="1:51" x14ac:dyDescent="0.2">
      <c r="A450" s="102">
        <v>26074</v>
      </c>
      <c r="B450" s="103" t="s">
        <v>32</v>
      </c>
      <c r="C450" s="103" t="s">
        <v>90</v>
      </c>
      <c r="D450" s="103" t="s">
        <v>1139</v>
      </c>
      <c r="E450" s="103" t="s">
        <v>1140</v>
      </c>
      <c r="F450" s="103">
        <v>34.125865169299999</v>
      </c>
      <c r="G450" s="103">
        <v>44.840688144399998</v>
      </c>
      <c r="H450" s="102">
        <v>135</v>
      </c>
      <c r="I450" s="102">
        <v>810</v>
      </c>
      <c r="J450" s="103"/>
      <c r="K450" s="103"/>
      <c r="L450" s="103"/>
      <c r="M450" s="103">
        <v>135</v>
      </c>
      <c r="N450" s="103"/>
      <c r="O450" s="103"/>
      <c r="P450" s="103"/>
      <c r="Q450" s="103"/>
      <c r="R450" s="103"/>
      <c r="S450" s="103"/>
      <c r="T450" s="103"/>
      <c r="U450" s="103"/>
      <c r="V450" s="103"/>
      <c r="W450" s="103"/>
      <c r="X450" s="103"/>
      <c r="Y450" s="103"/>
      <c r="Z450" s="103">
        <v>125</v>
      </c>
      <c r="AA450" s="103"/>
      <c r="AB450" s="103"/>
      <c r="AC450" s="103"/>
      <c r="AD450" s="103"/>
      <c r="AE450" s="103"/>
      <c r="AF450" s="103"/>
      <c r="AG450" s="103"/>
      <c r="AH450" s="103"/>
      <c r="AI450" s="103"/>
      <c r="AJ450" s="103">
        <v>10</v>
      </c>
      <c r="AK450" s="103"/>
      <c r="AL450" s="103"/>
      <c r="AM450" s="103"/>
      <c r="AN450" s="103">
        <v>135</v>
      </c>
      <c r="AO450" s="103"/>
      <c r="AP450" s="103"/>
      <c r="AQ450" s="103"/>
      <c r="AR450" s="103"/>
      <c r="AS450" s="103"/>
      <c r="AT450" s="103"/>
      <c r="AU450" s="103"/>
      <c r="AV450" s="103"/>
      <c r="AW450" s="104" t="str">
        <f>HYPERLINK("http://www.openstreetmap.org/?mlat=34.1259&amp;mlon=44.8407&amp;zoom=12#map=12/34.1259/44.8407","Maplink1")</f>
        <v>Maplink1</v>
      </c>
      <c r="AX450" s="104" t="str">
        <f>HYPERLINK("https://www.google.iq/maps/search/+34.1259,44.8407/@34.1259,44.8407,14z?hl=en","Maplink2")</f>
        <v>Maplink2</v>
      </c>
      <c r="AY450" s="104" t="str">
        <f>HYPERLINK("http://www.bing.com/maps/?lvl=14&amp;sty=h&amp;cp=34.1259~44.8407&amp;sp=point.34.1259_44.8407","Maplink3")</f>
        <v>Maplink3</v>
      </c>
    </row>
    <row r="451" spans="1:51" x14ac:dyDescent="0.2">
      <c r="A451" s="102">
        <v>25659</v>
      </c>
      <c r="B451" s="103" t="s">
        <v>32</v>
      </c>
      <c r="C451" s="103" t="s">
        <v>90</v>
      </c>
      <c r="D451" s="103" t="s">
        <v>1141</v>
      </c>
      <c r="E451" s="103" t="s">
        <v>1142</v>
      </c>
      <c r="F451" s="103">
        <v>34.091725642599997</v>
      </c>
      <c r="G451" s="103">
        <v>44.9365514108</v>
      </c>
      <c r="H451" s="102">
        <v>47</v>
      </c>
      <c r="I451" s="102">
        <v>282</v>
      </c>
      <c r="J451" s="103"/>
      <c r="K451" s="103"/>
      <c r="L451" s="103"/>
      <c r="M451" s="103">
        <v>47</v>
      </c>
      <c r="N451" s="103"/>
      <c r="O451" s="103"/>
      <c r="P451" s="103"/>
      <c r="Q451" s="103"/>
      <c r="R451" s="103"/>
      <c r="S451" s="103"/>
      <c r="T451" s="103"/>
      <c r="U451" s="103"/>
      <c r="V451" s="103"/>
      <c r="W451" s="103"/>
      <c r="X451" s="103"/>
      <c r="Y451" s="103"/>
      <c r="Z451" s="103">
        <v>32</v>
      </c>
      <c r="AA451" s="103"/>
      <c r="AB451" s="103"/>
      <c r="AC451" s="103"/>
      <c r="AD451" s="103"/>
      <c r="AE451" s="103"/>
      <c r="AF451" s="103"/>
      <c r="AG451" s="103"/>
      <c r="AH451" s="103"/>
      <c r="AI451" s="103"/>
      <c r="AJ451" s="103">
        <v>15</v>
      </c>
      <c r="AK451" s="103"/>
      <c r="AL451" s="103"/>
      <c r="AM451" s="103"/>
      <c r="AN451" s="103"/>
      <c r="AO451" s="103"/>
      <c r="AP451" s="103">
        <v>47</v>
      </c>
      <c r="AQ451" s="103"/>
      <c r="AR451" s="103"/>
      <c r="AS451" s="103"/>
      <c r="AT451" s="103"/>
      <c r="AU451" s="103"/>
      <c r="AV451" s="103"/>
      <c r="AW451" s="104" t="str">
        <f>HYPERLINK("http://www.openstreetmap.org/?mlat=34.0917&amp;mlon=44.9366&amp;zoom=12#map=12/34.0917/44.9366","Maplink1")</f>
        <v>Maplink1</v>
      </c>
      <c r="AX451" s="104" t="str">
        <f>HYPERLINK("https://www.google.iq/maps/search/+34.0917,44.9366/@34.0917,44.9366,14z?hl=en","Maplink2")</f>
        <v>Maplink2</v>
      </c>
      <c r="AY451" s="104" t="str">
        <f>HYPERLINK("http://www.bing.com/maps/?lvl=14&amp;sty=h&amp;cp=34.0917~44.9366&amp;sp=point.34.0917_44.9366","Maplink3")</f>
        <v>Maplink3</v>
      </c>
    </row>
    <row r="452" spans="1:51" x14ac:dyDescent="0.2">
      <c r="A452" s="102">
        <v>25676</v>
      </c>
      <c r="B452" s="103" t="s">
        <v>32</v>
      </c>
      <c r="C452" s="103" t="s">
        <v>90</v>
      </c>
      <c r="D452" s="103" t="s">
        <v>1143</v>
      </c>
      <c r="E452" s="103" t="s">
        <v>1144</v>
      </c>
      <c r="F452" s="103">
        <v>34.031366407100002</v>
      </c>
      <c r="G452" s="103">
        <v>44.867644306400003</v>
      </c>
      <c r="H452" s="102">
        <v>150</v>
      </c>
      <c r="I452" s="102">
        <v>900</v>
      </c>
      <c r="J452" s="103"/>
      <c r="K452" s="103"/>
      <c r="L452" s="103"/>
      <c r="M452" s="103">
        <v>150</v>
      </c>
      <c r="N452" s="103"/>
      <c r="O452" s="103"/>
      <c r="P452" s="103"/>
      <c r="Q452" s="103"/>
      <c r="R452" s="103"/>
      <c r="S452" s="103"/>
      <c r="T452" s="103"/>
      <c r="U452" s="103"/>
      <c r="V452" s="103"/>
      <c r="W452" s="103"/>
      <c r="X452" s="103"/>
      <c r="Y452" s="103"/>
      <c r="Z452" s="103">
        <v>78</v>
      </c>
      <c r="AA452" s="103"/>
      <c r="AB452" s="103"/>
      <c r="AC452" s="103">
        <v>50</v>
      </c>
      <c r="AD452" s="103"/>
      <c r="AE452" s="103"/>
      <c r="AF452" s="103"/>
      <c r="AG452" s="103"/>
      <c r="AH452" s="103"/>
      <c r="AI452" s="103"/>
      <c r="AJ452" s="103">
        <v>22</v>
      </c>
      <c r="AK452" s="103"/>
      <c r="AL452" s="103"/>
      <c r="AM452" s="103"/>
      <c r="AN452" s="103"/>
      <c r="AO452" s="103"/>
      <c r="AP452" s="103">
        <v>150</v>
      </c>
      <c r="AQ452" s="103"/>
      <c r="AR452" s="103"/>
      <c r="AS452" s="103"/>
      <c r="AT452" s="103"/>
      <c r="AU452" s="103"/>
      <c r="AV452" s="103"/>
      <c r="AW452" s="104" t="str">
        <f>HYPERLINK("http://www.openstreetmap.org/?mlat=34.0314&amp;mlon=44.8676&amp;zoom=12#map=12/34.0314/44.8676","Maplink1")</f>
        <v>Maplink1</v>
      </c>
      <c r="AX452" s="104" t="str">
        <f>HYPERLINK("https://www.google.iq/maps/search/+34.0314,44.8676/@34.0314,44.8676,14z?hl=en","Maplink2")</f>
        <v>Maplink2</v>
      </c>
      <c r="AY452" s="104" t="str">
        <f>HYPERLINK("http://www.bing.com/maps/?lvl=14&amp;sty=h&amp;cp=34.0314~44.8676&amp;sp=point.34.0314_44.8676","Maplink3")</f>
        <v>Maplink3</v>
      </c>
    </row>
    <row r="453" spans="1:51" x14ac:dyDescent="0.2">
      <c r="A453" s="102">
        <v>25651</v>
      </c>
      <c r="B453" s="103" t="s">
        <v>32</v>
      </c>
      <c r="C453" s="103" t="s">
        <v>90</v>
      </c>
      <c r="D453" s="103" t="s">
        <v>1145</v>
      </c>
      <c r="E453" s="103" t="s">
        <v>1146</v>
      </c>
      <c r="F453" s="103">
        <v>34.073682398599999</v>
      </c>
      <c r="G453" s="103">
        <v>44.863416288700002</v>
      </c>
      <c r="H453" s="102">
        <v>455</v>
      </c>
      <c r="I453" s="102">
        <v>2730</v>
      </c>
      <c r="J453" s="103"/>
      <c r="K453" s="103"/>
      <c r="L453" s="103"/>
      <c r="M453" s="103">
        <v>455</v>
      </c>
      <c r="N453" s="103"/>
      <c r="O453" s="103"/>
      <c r="P453" s="103"/>
      <c r="Q453" s="103"/>
      <c r="R453" s="103"/>
      <c r="S453" s="103"/>
      <c r="T453" s="103"/>
      <c r="U453" s="103"/>
      <c r="V453" s="103"/>
      <c r="W453" s="103"/>
      <c r="X453" s="103"/>
      <c r="Y453" s="103"/>
      <c r="Z453" s="103">
        <v>355</v>
      </c>
      <c r="AA453" s="103"/>
      <c r="AB453" s="103"/>
      <c r="AC453" s="103">
        <v>45</v>
      </c>
      <c r="AD453" s="103"/>
      <c r="AE453" s="103"/>
      <c r="AF453" s="103"/>
      <c r="AG453" s="103"/>
      <c r="AH453" s="103"/>
      <c r="AI453" s="103"/>
      <c r="AJ453" s="103">
        <v>55</v>
      </c>
      <c r="AK453" s="103"/>
      <c r="AL453" s="103"/>
      <c r="AM453" s="103"/>
      <c r="AN453" s="103">
        <v>455</v>
      </c>
      <c r="AO453" s="103"/>
      <c r="AP453" s="103"/>
      <c r="AQ453" s="103"/>
      <c r="AR453" s="103"/>
      <c r="AS453" s="103"/>
      <c r="AT453" s="103"/>
      <c r="AU453" s="103"/>
      <c r="AV453" s="103"/>
      <c r="AW453" s="104" t="str">
        <f>HYPERLINK("http://www.openstreetmap.org/?mlat=34.0737&amp;mlon=44.8634&amp;zoom=12#map=12/34.0737/44.8634","Maplink1")</f>
        <v>Maplink1</v>
      </c>
      <c r="AX453" s="104" t="str">
        <f>HYPERLINK("https://www.google.iq/maps/search/+34.0737,44.8634/@34.0737,44.8634,14z?hl=en","Maplink2")</f>
        <v>Maplink2</v>
      </c>
      <c r="AY453" s="104" t="str">
        <f>HYPERLINK("http://www.bing.com/maps/?lvl=14&amp;sty=h&amp;cp=34.0737~44.8634&amp;sp=point.34.0737_44.8634","Maplink3")</f>
        <v>Maplink3</v>
      </c>
    </row>
    <row r="454" spans="1:51" x14ac:dyDescent="0.2">
      <c r="A454" s="102">
        <v>25669</v>
      </c>
      <c r="B454" s="103" t="s">
        <v>32</v>
      </c>
      <c r="C454" s="103" t="s">
        <v>90</v>
      </c>
      <c r="D454" s="103" t="s">
        <v>1147</v>
      </c>
      <c r="E454" s="103" t="s">
        <v>1148</v>
      </c>
      <c r="F454" s="103">
        <v>34.056919020000002</v>
      </c>
      <c r="G454" s="103">
        <v>44.884352562300002</v>
      </c>
      <c r="H454" s="102">
        <v>200</v>
      </c>
      <c r="I454" s="102">
        <v>1200</v>
      </c>
      <c r="J454" s="103"/>
      <c r="K454" s="103"/>
      <c r="L454" s="103"/>
      <c r="M454" s="103">
        <v>189</v>
      </c>
      <c r="N454" s="103">
        <v>11</v>
      </c>
      <c r="O454" s="103"/>
      <c r="P454" s="103"/>
      <c r="Q454" s="103"/>
      <c r="R454" s="103"/>
      <c r="S454" s="103"/>
      <c r="T454" s="103"/>
      <c r="U454" s="103"/>
      <c r="V454" s="103"/>
      <c r="W454" s="103"/>
      <c r="X454" s="103"/>
      <c r="Y454" s="103"/>
      <c r="Z454" s="103">
        <v>83</v>
      </c>
      <c r="AA454" s="103"/>
      <c r="AB454" s="103"/>
      <c r="AC454" s="103">
        <v>45</v>
      </c>
      <c r="AD454" s="103"/>
      <c r="AE454" s="103"/>
      <c r="AF454" s="103"/>
      <c r="AG454" s="103"/>
      <c r="AH454" s="103"/>
      <c r="AI454" s="103"/>
      <c r="AJ454" s="103">
        <v>72</v>
      </c>
      <c r="AK454" s="103"/>
      <c r="AL454" s="103"/>
      <c r="AM454" s="103"/>
      <c r="AN454" s="103"/>
      <c r="AO454" s="103"/>
      <c r="AP454" s="103">
        <v>200</v>
      </c>
      <c r="AQ454" s="103"/>
      <c r="AR454" s="103"/>
      <c r="AS454" s="103"/>
      <c r="AT454" s="103"/>
      <c r="AU454" s="103"/>
      <c r="AV454" s="103"/>
      <c r="AW454" s="104" t="str">
        <f>HYPERLINK("http://www.openstreetmap.org/?mlat=34.0569&amp;mlon=44.8844&amp;zoom=12#map=12/34.0569/44.8844","Maplink1")</f>
        <v>Maplink1</v>
      </c>
      <c r="AX454" s="104" t="str">
        <f>HYPERLINK("https://www.google.iq/maps/search/+34.0569,44.8844/@34.0569,44.8844,14z?hl=en","Maplink2")</f>
        <v>Maplink2</v>
      </c>
      <c r="AY454" s="104" t="str">
        <f>HYPERLINK("http://www.bing.com/maps/?lvl=14&amp;sty=h&amp;cp=34.0569~44.8844&amp;sp=point.34.0569_44.8844","Maplink3")</f>
        <v>Maplink3</v>
      </c>
    </row>
    <row r="455" spans="1:51" x14ac:dyDescent="0.2">
      <c r="A455" s="102">
        <v>27175</v>
      </c>
      <c r="B455" s="103" t="s">
        <v>32</v>
      </c>
      <c r="C455" s="103" t="s">
        <v>90</v>
      </c>
      <c r="D455" s="103" t="s">
        <v>1149</v>
      </c>
      <c r="E455" s="103" t="s">
        <v>1150</v>
      </c>
      <c r="F455" s="103">
        <v>34.034625090200002</v>
      </c>
      <c r="G455" s="103">
        <v>44.316996214699998</v>
      </c>
      <c r="H455" s="102">
        <v>60</v>
      </c>
      <c r="I455" s="102">
        <v>360</v>
      </c>
      <c r="J455" s="103"/>
      <c r="K455" s="103"/>
      <c r="L455" s="103"/>
      <c r="M455" s="103">
        <v>50</v>
      </c>
      <c r="N455" s="103">
        <v>10</v>
      </c>
      <c r="O455" s="103"/>
      <c r="P455" s="103"/>
      <c r="Q455" s="103"/>
      <c r="R455" s="103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>
        <v>60</v>
      </c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103">
        <v>60</v>
      </c>
      <c r="AO455" s="103"/>
      <c r="AP455" s="103"/>
      <c r="AQ455" s="103"/>
      <c r="AR455" s="103"/>
      <c r="AS455" s="103"/>
      <c r="AT455" s="103"/>
      <c r="AU455" s="103"/>
      <c r="AV455" s="103"/>
      <c r="AW455" s="104" t="str">
        <f>HYPERLINK("http://www.openstreetmap.org/?mlat=34.0346&amp;mlon=44.317&amp;zoom=12#map=12/34.0346/44.317","Maplink1")</f>
        <v>Maplink1</v>
      </c>
      <c r="AX455" s="104" t="str">
        <f>HYPERLINK("https://www.google.iq/maps/search/+34.0346,44.317/@34.0346,44.317,14z?hl=en","Maplink2")</f>
        <v>Maplink2</v>
      </c>
      <c r="AY455" s="104" t="str">
        <f>HYPERLINK("http://www.bing.com/maps/?lvl=14&amp;sty=h&amp;cp=34.0346~44.317&amp;sp=point.34.0346_44.317","Maplink3")</f>
        <v>Maplink3</v>
      </c>
    </row>
    <row r="456" spans="1:51" x14ac:dyDescent="0.2">
      <c r="A456" s="102">
        <v>27157</v>
      </c>
      <c r="B456" s="103" t="s">
        <v>32</v>
      </c>
      <c r="C456" s="103" t="s">
        <v>90</v>
      </c>
      <c r="D456" s="103" t="s">
        <v>988</v>
      </c>
      <c r="E456" s="103" t="s">
        <v>989</v>
      </c>
      <c r="F456" s="103">
        <v>34.23302623</v>
      </c>
      <c r="G456" s="103">
        <v>44.528176519799999</v>
      </c>
      <c r="H456" s="102">
        <v>7</v>
      </c>
      <c r="I456" s="102">
        <v>42</v>
      </c>
      <c r="J456" s="103"/>
      <c r="K456" s="103"/>
      <c r="L456" s="103"/>
      <c r="M456" s="103">
        <v>6</v>
      </c>
      <c r="N456" s="103">
        <v>1</v>
      </c>
      <c r="O456" s="103"/>
      <c r="P456" s="103"/>
      <c r="Q456" s="103"/>
      <c r="R456" s="103"/>
      <c r="S456" s="103"/>
      <c r="T456" s="103"/>
      <c r="U456" s="103"/>
      <c r="V456" s="103"/>
      <c r="W456" s="103"/>
      <c r="X456" s="103"/>
      <c r="Y456" s="103"/>
      <c r="Z456" s="103"/>
      <c r="AA456" s="103"/>
      <c r="AB456" s="103"/>
      <c r="AC456" s="103">
        <v>7</v>
      </c>
      <c r="AD456" s="103"/>
      <c r="AE456" s="103"/>
      <c r="AF456" s="103"/>
      <c r="AG456" s="103"/>
      <c r="AH456" s="103"/>
      <c r="AI456" s="103"/>
      <c r="AJ456" s="103"/>
      <c r="AK456" s="103"/>
      <c r="AL456" s="103"/>
      <c r="AM456" s="103"/>
      <c r="AN456" s="103">
        <v>7</v>
      </c>
      <c r="AO456" s="103"/>
      <c r="AP456" s="103"/>
      <c r="AQ456" s="103"/>
      <c r="AR456" s="103"/>
      <c r="AS456" s="103"/>
      <c r="AT456" s="103"/>
      <c r="AU456" s="103"/>
      <c r="AV456" s="103"/>
      <c r="AW456" s="104" t="str">
        <f>HYPERLINK("http://www.openstreetmap.org/?mlat=34.233&amp;mlon=44.5282&amp;zoom=12#map=12/34.233/44.5282","Maplink1")</f>
        <v>Maplink1</v>
      </c>
      <c r="AX456" s="104" t="str">
        <f>HYPERLINK("https://www.google.iq/maps/search/+34.233,44.5282/@34.233,44.5282,14z?hl=en","Maplink2")</f>
        <v>Maplink2</v>
      </c>
      <c r="AY456" s="104" t="str">
        <f>HYPERLINK("http://www.bing.com/maps/?lvl=14&amp;sty=h&amp;cp=34.233~44.5282&amp;sp=point.34.233_44.5282","Maplink3")</f>
        <v>Maplink3</v>
      </c>
    </row>
    <row r="457" spans="1:51" x14ac:dyDescent="0.2">
      <c r="A457" s="102">
        <v>27176</v>
      </c>
      <c r="B457" s="103" t="s">
        <v>32</v>
      </c>
      <c r="C457" s="103" t="s">
        <v>90</v>
      </c>
      <c r="D457" s="103" t="s">
        <v>990</v>
      </c>
      <c r="E457" s="103" t="s">
        <v>991</v>
      </c>
      <c r="F457" s="103">
        <v>34.043675497400002</v>
      </c>
      <c r="G457" s="103">
        <v>44.307247805099998</v>
      </c>
      <c r="H457" s="102">
        <v>70</v>
      </c>
      <c r="I457" s="102">
        <v>420</v>
      </c>
      <c r="J457" s="103"/>
      <c r="K457" s="103"/>
      <c r="L457" s="103"/>
      <c r="M457" s="103">
        <v>65</v>
      </c>
      <c r="N457" s="103">
        <v>5</v>
      </c>
      <c r="O457" s="103"/>
      <c r="P457" s="103"/>
      <c r="Q457" s="103"/>
      <c r="R457" s="103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>
        <v>70</v>
      </c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103">
        <v>70</v>
      </c>
      <c r="AO457" s="103"/>
      <c r="AP457" s="103"/>
      <c r="AQ457" s="103"/>
      <c r="AR457" s="103"/>
      <c r="AS457" s="103"/>
      <c r="AT457" s="103"/>
      <c r="AU457" s="103"/>
      <c r="AV457" s="103"/>
      <c r="AW457" s="104" t="str">
        <f>HYPERLINK("http://www.openstreetmap.org/?mlat=34.0437&amp;mlon=44.3072&amp;zoom=12#map=12/34.0437/44.3072","Maplink1")</f>
        <v>Maplink1</v>
      </c>
      <c r="AX457" s="104" t="str">
        <f>HYPERLINK("https://www.google.iq/maps/search/+34.0437,44.3072/@34.0437,44.3072,14z?hl=en","Maplink2")</f>
        <v>Maplink2</v>
      </c>
      <c r="AY457" s="104" t="str">
        <f>HYPERLINK("http://www.bing.com/maps/?lvl=14&amp;sty=h&amp;cp=34.0437~44.3072&amp;sp=point.34.0437_44.3072","Maplink3")</f>
        <v>Maplink3</v>
      </c>
    </row>
    <row r="458" spans="1:51" x14ac:dyDescent="0.2">
      <c r="A458" s="102">
        <v>27159</v>
      </c>
      <c r="B458" s="103" t="s">
        <v>32</v>
      </c>
      <c r="C458" s="103" t="s">
        <v>90</v>
      </c>
      <c r="D458" s="103" t="s">
        <v>992</v>
      </c>
      <c r="E458" s="103" t="s">
        <v>993</v>
      </c>
      <c r="F458" s="103">
        <v>34.326905563300002</v>
      </c>
      <c r="G458" s="103">
        <v>44.724423795600003</v>
      </c>
      <c r="H458" s="102">
        <v>51</v>
      </c>
      <c r="I458" s="102">
        <v>306</v>
      </c>
      <c r="J458" s="103"/>
      <c r="K458" s="103"/>
      <c r="L458" s="103"/>
      <c r="M458" s="103">
        <v>51</v>
      </c>
      <c r="N458" s="103"/>
      <c r="O458" s="103"/>
      <c r="P458" s="103"/>
      <c r="Q458" s="103"/>
      <c r="R458" s="103"/>
      <c r="S458" s="103"/>
      <c r="T458" s="103"/>
      <c r="U458" s="103"/>
      <c r="V458" s="103"/>
      <c r="W458" s="103"/>
      <c r="X458" s="103"/>
      <c r="Y458" s="103"/>
      <c r="Z458" s="103">
        <v>16</v>
      </c>
      <c r="AA458" s="103"/>
      <c r="AB458" s="103"/>
      <c r="AC458" s="103">
        <v>35</v>
      </c>
      <c r="AD458" s="103"/>
      <c r="AE458" s="103"/>
      <c r="AF458" s="103"/>
      <c r="AG458" s="103"/>
      <c r="AH458" s="103"/>
      <c r="AI458" s="103"/>
      <c r="AJ458" s="103"/>
      <c r="AK458" s="103"/>
      <c r="AL458" s="103"/>
      <c r="AM458" s="103"/>
      <c r="AN458" s="103">
        <v>51</v>
      </c>
      <c r="AO458" s="103"/>
      <c r="AP458" s="103"/>
      <c r="AQ458" s="103"/>
      <c r="AR458" s="103"/>
      <c r="AS458" s="103"/>
      <c r="AT458" s="103"/>
      <c r="AU458" s="103"/>
      <c r="AV458" s="103"/>
      <c r="AW458" s="104" t="str">
        <f>HYPERLINK("http://www.openstreetmap.org/?mlat=34.3269&amp;mlon=44.7244&amp;zoom=12#map=12/34.3269/44.7244","Maplink1")</f>
        <v>Maplink1</v>
      </c>
      <c r="AX458" s="104" t="str">
        <f>HYPERLINK("https://www.google.iq/maps/search/+34.3269,44.7244/@34.3269,44.7244,14z?hl=en","Maplink2")</f>
        <v>Maplink2</v>
      </c>
      <c r="AY458" s="104" t="str">
        <f>HYPERLINK("http://www.bing.com/maps/?lvl=14&amp;sty=h&amp;cp=34.3269~44.7244&amp;sp=point.34.3269_44.7244","Maplink3")</f>
        <v>Maplink3</v>
      </c>
    </row>
    <row r="459" spans="1:51" x14ac:dyDescent="0.2">
      <c r="A459" s="102">
        <v>27163</v>
      </c>
      <c r="B459" s="103" t="s">
        <v>32</v>
      </c>
      <c r="C459" s="103" t="s">
        <v>90</v>
      </c>
      <c r="D459" s="103" t="s">
        <v>994</v>
      </c>
      <c r="E459" s="103" t="s">
        <v>995</v>
      </c>
      <c r="F459" s="103">
        <v>34.365303620399999</v>
      </c>
      <c r="G459" s="103">
        <v>44.631880978300003</v>
      </c>
      <c r="H459" s="102">
        <v>22</v>
      </c>
      <c r="I459" s="102">
        <v>132</v>
      </c>
      <c r="J459" s="103"/>
      <c r="K459" s="103"/>
      <c r="L459" s="103"/>
      <c r="M459" s="103">
        <v>20</v>
      </c>
      <c r="N459" s="103">
        <v>2</v>
      </c>
      <c r="O459" s="103"/>
      <c r="P459" s="103"/>
      <c r="Q459" s="103"/>
      <c r="R459" s="103"/>
      <c r="S459" s="103"/>
      <c r="T459" s="103"/>
      <c r="U459" s="103"/>
      <c r="V459" s="103"/>
      <c r="W459" s="103"/>
      <c r="X459" s="103"/>
      <c r="Y459" s="103"/>
      <c r="Z459" s="103"/>
      <c r="AA459" s="103"/>
      <c r="AB459" s="103"/>
      <c r="AC459" s="103">
        <v>22</v>
      </c>
      <c r="AD459" s="103"/>
      <c r="AE459" s="103"/>
      <c r="AF459" s="103"/>
      <c r="AG459" s="103"/>
      <c r="AH459" s="103"/>
      <c r="AI459" s="103"/>
      <c r="AJ459" s="103"/>
      <c r="AK459" s="103"/>
      <c r="AL459" s="103"/>
      <c r="AM459" s="103"/>
      <c r="AN459" s="103">
        <v>22</v>
      </c>
      <c r="AO459" s="103"/>
      <c r="AP459" s="103"/>
      <c r="AQ459" s="103"/>
      <c r="AR459" s="103"/>
      <c r="AS459" s="103"/>
      <c r="AT459" s="103"/>
      <c r="AU459" s="103"/>
      <c r="AV459" s="103"/>
      <c r="AW459" s="104" t="str">
        <f>HYPERLINK("http://www.openstreetmap.org/?mlat=34.3653&amp;mlon=44.6319&amp;zoom=12#map=12/34.3653/44.6319","Maplink1")</f>
        <v>Maplink1</v>
      </c>
      <c r="AX459" s="104" t="str">
        <f>HYPERLINK("https://www.google.iq/maps/search/+34.3653,44.6319/@34.3653,44.6319,14z?hl=en","Maplink2")</f>
        <v>Maplink2</v>
      </c>
      <c r="AY459" s="104" t="str">
        <f>HYPERLINK("http://www.bing.com/maps/?lvl=14&amp;sty=h&amp;cp=34.3653~44.6319&amp;sp=point.34.3653_44.6319","Maplink3")</f>
        <v>Maplink3</v>
      </c>
    </row>
    <row r="460" spans="1:51" x14ac:dyDescent="0.2">
      <c r="A460" s="102">
        <v>25680</v>
      </c>
      <c r="B460" s="103" t="s">
        <v>32</v>
      </c>
      <c r="C460" s="103" t="s">
        <v>90</v>
      </c>
      <c r="D460" s="103" t="s">
        <v>1066</v>
      </c>
      <c r="E460" s="103" t="s">
        <v>1067</v>
      </c>
      <c r="F460" s="103">
        <v>34.023652210000002</v>
      </c>
      <c r="G460" s="103">
        <v>44.865286391700003</v>
      </c>
      <c r="H460" s="102">
        <v>100</v>
      </c>
      <c r="I460" s="102">
        <v>600</v>
      </c>
      <c r="J460" s="103"/>
      <c r="K460" s="103"/>
      <c r="L460" s="103"/>
      <c r="M460" s="103">
        <v>92</v>
      </c>
      <c r="N460" s="103">
        <v>8</v>
      </c>
      <c r="O460" s="103"/>
      <c r="P460" s="103"/>
      <c r="Q460" s="103"/>
      <c r="R460" s="103"/>
      <c r="S460" s="103"/>
      <c r="T460" s="103"/>
      <c r="U460" s="103"/>
      <c r="V460" s="103"/>
      <c r="W460" s="103"/>
      <c r="X460" s="103"/>
      <c r="Y460" s="103"/>
      <c r="Z460" s="103">
        <v>82</v>
      </c>
      <c r="AA460" s="103"/>
      <c r="AB460" s="103"/>
      <c r="AC460" s="103">
        <v>9</v>
      </c>
      <c r="AD460" s="103"/>
      <c r="AE460" s="103"/>
      <c r="AF460" s="103"/>
      <c r="AG460" s="103"/>
      <c r="AH460" s="103"/>
      <c r="AI460" s="103"/>
      <c r="AJ460" s="103">
        <v>9</v>
      </c>
      <c r="AK460" s="103"/>
      <c r="AL460" s="103"/>
      <c r="AM460" s="103"/>
      <c r="AN460" s="103"/>
      <c r="AO460" s="103"/>
      <c r="AP460" s="103">
        <v>100</v>
      </c>
      <c r="AQ460" s="103"/>
      <c r="AR460" s="103"/>
      <c r="AS460" s="103"/>
      <c r="AT460" s="103"/>
      <c r="AU460" s="103"/>
      <c r="AV460" s="103"/>
      <c r="AW460" s="104" t="str">
        <f>HYPERLINK("http://www.openstreetmap.org/?mlat=34.0237&amp;mlon=44.8653&amp;zoom=12#map=12/34.0237/44.8653","Maplink1")</f>
        <v>Maplink1</v>
      </c>
      <c r="AX460" s="104" t="str">
        <f>HYPERLINK("https://www.google.iq/maps/search/+34.0237,44.8653/@34.0237,44.8653,14z?hl=en","Maplink2")</f>
        <v>Maplink2</v>
      </c>
      <c r="AY460" s="104" t="str">
        <f>HYPERLINK("http://www.bing.com/maps/?lvl=14&amp;sty=h&amp;cp=34.0237~44.8653&amp;sp=point.34.0237_44.8653","Maplink3")</f>
        <v>Maplink3</v>
      </c>
    </row>
    <row r="461" spans="1:51" x14ac:dyDescent="0.2">
      <c r="A461" s="102">
        <v>27168</v>
      </c>
      <c r="B461" s="103" t="s">
        <v>32</v>
      </c>
      <c r="C461" s="103" t="s">
        <v>90</v>
      </c>
      <c r="D461" s="103" t="s">
        <v>1068</v>
      </c>
      <c r="E461" s="103" t="s">
        <v>1069</v>
      </c>
      <c r="F461" s="103">
        <v>34.113699539999999</v>
      </c>
      <c r="G461" s="103">
        <v>44.505627680400003</v>
      </c>
      <c r="H461" s="102">
        <v>10</v>
      </c>
      <c r="I461" s="102">
        <v>60</v>
      </c>
      <c r="J461" s="103"/>
      <c r="K461" s="103"/>
      <c r="L461" s="103"/>
      <c r="M461" s="103">
        <v>10</v>
      </c>
      <c r="N461" s="103"/>
      <c r="O461" s="103"/>
      <c r="P461" s="103"/>
      <c r="Q461" s="103"/>
      <c r="R461" s="103"/>
      <c r="S461" s="103"/>
      <c r="T461" s="103"/>
      <c r="U461" s="103"/>
      <c r="V461" s="103"/>
      <c r="W461" s="103"/>
      <c r="X461" s="103"/>
      <c r="Y461" s="103"/>
      <c r="Z461" s="103"/>
      <c r="AA461" s="103"/>
      <c r="AB461" s="103"/>
      <c r="AC461" s="103">
        <v>10</v>
      </c>
      <c r="AD461" s="103"/>
      <c r="AE461" s="103"/>
      <c r="AF461" s="103"/>
      <c r="AG461" s="103"/>
      <c r="AH461" s="103"/>
      <c r="AI461" s="103"/>
      <c r="AJ461" s="103"/>
      <c r="AK461" s="103"/>
      <c r="AL461" s="103"/>
      <c r="AM461" s="103"/>
      <c r="AN461" s="103">
        <v>10</v>
      </c>
      <c r="AO461" s="103"/>
      <c r="AP461" s="103"/>
      <c r="AQ461" s="103"/>
      <c r="AR461" s="103"/>
      <c r="AS461" s="103"/>
      <c r="AT461" s="103"/>
      <c r="AU461" s="103"/>
      <c r="AV461" s="103"/>
      <c r="AW461" s="104" t="str">
        <f>HYPERLINK("http://www.openstreetmap.org/?mlat=34.1137&amp;mlon=44.5056&amp;zoom=12#map=12/34.1137/44.5056","Maplink1")</f>
        <v>Maplink1</v>
      </c>
      <c r="AX461" s="104" t="str">
        <f>HYPERLINK("https://www.google.iq/maps/search/+34.1137,44.5056/@34.1137,44.5056,14z?hl=en","Maplink2")</f>
        <v>Maplink2</v>
      </c>
      <c r="AY461" s="104" t="str">
        <f>HYPERLINK("http://www.bing.com/maps/?lvl=14&amp;sty=h&amp;cp=34.1137~44.5056&amp;sp=point.34.1137_44.5056","Maplink3")</f>
        <v>Maplink3</v>
      </c>
    </row>
    <row r="462" spans="1:51" x14ac:dyDescent="0.2">
      <c r="A462" s="102">
        <v>27179</v>
      </c>
      <c r="B462" s="103" t="s">
        <v>32</v>
      </c>
      <c r="C462" s="103" t="s">
        <v>90</v>
      </c>
      <c r="D462" s="103" t="s">
        <v>1070</v>
      </c>
      <c r="E462" s="103" t="s">
        <v>1071</v>
      </c>
      <c r="F462" s="103">
        <v>34.174874989999999</v>
      </c>
      <c r="G462" s="103">
        <v>44.423112243799999</v>
      </c>
      <c r="H462" s="102">
        <v>140</v>
      </c>
      <c r="I462" s="102">
        <v>840</v>
      </c>
      <c r="J462" s="103"/>
      <c r="K462" s="103"/>
      <c r="L462" s="103"/>
      <c r="M462" s="103">
        <v>140</v>
      </c>
      <c r="N462" s="103"/>
      <c r="O462" s="103"/>
      <c r="P462" s="103"/>
      <c r="Q462" s="103"/>
      <c r="R462" s="103"/>
      <c r="S462" s="103"/>
      <c r="T462" s="103"/>
      <c r="U462" s="103"/>
      <c r="V462" s="103"/>
      <c r="W462" s="103"/>
      <c r="X462" s="103"/>
      <c r="Y462" s="103"/>
      <c r="Z462" s="103">
        <v>20</v>
      </c>
      <c r="AA462" s="103"/>
      <c r="AB462" s="103"/>
      <c r="AC462" s="103">
        <v>120</v>
      </c>
      <c r="AD462" s="103"/>
      <c r="AE462" s="103"/>
      <c r="AF462" s="103"/>
      <c r="AG462" s="103"/>
      <c r="AH462" s="103"/>
      <c r="AI462" s="103"/>
      <c r="AJ462" s="103"/>
      <c r="AK462" s="103"/>
      <c r="AL462" s="103"/>
      <c r="AM462" s="103"/>
      <c r="AN462" s="103">
        <v>140</v>
      </c>
      <c r="AO462" s="103"/>
      <c r="AP462" s="103"/>
      <c r="AQ462" s="103"/>
      <c r="AR462" s="103"/>
      <c r="AS462" s="103"/>
      <c r="AT462" s="103"/>
      <c r="AU462" s="103"/>
      <c r="AV462" s="103"/>
      <c r="AW462" s="104" t="str">
        <f>HYPERLINK("http://www.openstreetmap.org/?mlat=34.1749&amp;mlon=44.4231&amp;zoom=12#map=12/34.1749/44.4231","Maplink1")</f>
        <v>Maplink1</v>
      </c>
      <c r="AX462" s="104" t="str">
        <f>HYPERLINK("https://www.google.iq/maps/search/+34.1749,44.4231/@34.1749,44.4231,14z?hl=en","Maplink2")</f>
        <v>Maplink2</v>
      </c>
      <c r="AY462" s="104" t="str">
        <f>HYPERLINK("http://www.bing.com/maps/?lvl=14&amp;sty=h&amp;cp=34.1749~44.4231&amp;sp=point.34.1749_44.4231","Maplink3")</f>
        <v>Maplink3</v>
      </c>
    </row>
    <row r="463" spans="1:51" x14ac:dyDescent="0.2">
      <c r="A463" s="102">
        <v>28446</v>
      </c>
      <c r="B463" s="103" t="s">
        <v>32</v>
      </c>
      <c r="C463" s="103" t="s">
        <v>90</v>
      </c>
      <c r="D463" s="103" t="s">
        <v>1072</v>
      </c>
      <c r="E463" s="103" t="s">
        <v>1073</v>
      </c>
      <c r="F463" s="103">
        <v>34.270393769999998</v>
      </c>
      <c r="G463" s="103">
        <v>44.534029936800003</v>
      </c>
      <c r="H463" s="102">
        <v>20</v>
      </c>
      <c r="I463" s="102">
        <v>120</v>
      </c>
      <c r="J463" s="103"/>
      <c r="K463" s="103"/>
      <c r="L463" s="103"/>
      <c r="M463" s="103">
        <v>20</v>
      </c>
      <c r="N463" s="103"/>
      <c r="O463" s="103"/>
      <c r="P463" s="103"/>
      <c r="Q463" s="103"/>
      <c r="R463" s="103"/>
      <c r="S463" s="103"/>
      <c r="T463" s="103"/>
      <c r="U463" s="103"/>
      <c r="V463" s="103"/>
      <c r="W463" s="103"/>
      <c r="X463" s="103"/>
      <c r="Y463" s="103"/>
      <c r="Z463" s="103">
        <v>20</v>
      </c>
      <c r="AA463" s="103"/>
      <c r="AB463" s="103"/>
      <c r="AC463" s="103"/>
      <c r="AD463" s="103"/>
      <c r="AE463" s="103"/>
      <c r="AF463" s="103"/>
      <c r="AG463" s="103"/>
      <c r="AH463" s="103"/>
      <c r="AI463" s="103"/>
      <c r="AJ463" s="103"/>
      <c r="AK463" s="103"/>
      <c r="AL463" s="103"/>
      <c r="AM463" s="103"/>
      <c r="AN463" s="103">
        <v>20</v>
      </c>
      <c r="AO463" s="103"/>
      <c r="AP463" s="103"/>
      <c r="AQ463" s="103"/>
      <c r="AR463" s="103"/>
      <c r="AS463" s="103"/>
      <c r="AT463" s="103"/>
      <c r="AU463" s="103"/>
      <c r="AV463" s="103"/>
      <c r="AW463" s="104" t="str">
        <f>HYPERLINK("http://www.openstreetmap.org/?mlat=34.2704&amp;mlon=44.534&amp;zoom=12#map=12/34.2704/44.534","Maplink1")</f>
        <v>Maplink1</v>
      </c>
      <c r="AX463" s="104" t="str">
        <f>HYPERLINK("https://www.google.iq/maps/search/+34.2704,44.534/@34.2704,44.534,14z?hl=en","Maplink2")</f>
        <v>Maplink2</v>
      </c>
      <c r="AY463" s="104" t="str">
        <f>HYPERLINK("http://www.bing.com/maps/?lvl=14&amp;sty=h&amp;cp=34.2704~44.534&amp;sp=point.34.2704_44.534","Maplink3")</f>
        <v>Maplink3</v>
      </c>
    </row>
    <row r="464" spans="1:51" x14ac:dyDescent="0.2">
      <c r="A464" s="102">
        <v>33841</v>
      </c>
      <c r="B464" s="103" t="s">
        <v>32</v>
      </c>
      <c r="C464" s="103" t="s">
        <v>90</v>
      </c>
      <c r="D464" s="103" t="s">
        <v>1074</v>
      </c>
      <c r="E464" s="103" t="s">
        <v>375</v>
      </c>
      <c r="F464" s="103">
        <v>34.081157345500003</v>
      </c>
      <c r="G464" s="103">
        <v>44.953768167</v>
      </c>
      <c r="H464" s="102">
        <v>420</v>
      </c>
      <c r="I464" s="102">
        <v>2520</v>
      </c>
      <c r="J464" s="103"/>
      <c r="K464" s="103"/>
      <c r="L464" s="103"/>
      <c r="M464" s="103">
        <v>320</v>
      </c>
      <c r="N464" s="103">
        <v>100</v>
      </c>
      <c r="O464" s="103"/>
      <c r="P464" s="103"/>
      <c r="Q464" s="103"/>
      <c r="R464" s="103"/>
      <c r="S464" s="103"/>
      <c r="T464" s="103"/>
      <c r="U464" s="103"/>
      <c r="V464" s="103"/>
      <c r="W464" s="103"/>
      <c r="X464" s="103"/>
      <c r="Y464" s="103"/>
      <c r="Z464" s="103">
        <v>335</v>
      </c>
      <c r="AA464" s="103">
        <v>20</v>
      </c>
      <c r="AB464" s="103"/>
      <c r="AC464" s="103">
        <v>35</v>
      </c>
      <c r="AD464" s="103"/>
      <c r="AE464" s="103"/>
      <c r="AF464" s="103"/>
      <c r="AG464" s="103"/>
      <c r="AH464" s="103"/>
      <c r="AI464" s="103"/>
      <c r="AJ464" s="103">
        <v>30</v>
      </c>
      <c r="AK464" s="103"/>
      <c r="AL464" s="103"/>
      <c r="AM464" s="103"/>
      <c r="AN464" s="103"/>
      <c r="AO464" s="103"/>
      <c r="AP464" s="103">
        <v>420</v>
      </c>
      <c r="AQ464" s="103"/>
      <c r="AR464" s="103"/>
      <c r="AS464" s="103"/>
      <c r="AT464" s="103"/>
      <c r="AU464" s="103"/>
      <c r="AV464" s="103"/>
      <c r="AW464" s="104" t="str">
        <f>HYPERLINK("http://www.openstreetmap.org/?mlat=34.0812&amp;mlon=44.9538&amp;zoom=12#map=12/34.0812/44.9538","Maplink1")</f>
        <v>Maplink1</v>
      </c>
      <c r="AX464" s="104" t="str">
        <f>HYPERLINK("https://www.google.iq/maps/search/+34.0812,44.9538/@34.0812,44.9538,14z?hl=en","Maplink2")</f>
        <v>Maplink2</v>
      </c>
      <c r="AY464" s="104" t="str">
        <f>HYPERLINK("http://www.bing.com/maps/?lvl=14&amp;sty=h&amp;cp=34.0812~44.9538&amp;sp=point.34.0812_44.9538","Maplink3")</f>
        <v>Maplink3</v>
      </c>
    </row>
    <row r="465" spans="1:51" x14ac:dyDescent="0.2">
      <c r="A465" s="102">
        <v>25662</v>
      </c>
      <c r="B465" s="103" t="s">
        <v>32</v>
      </c>
      <c r="C465" s="103" t="s">
        <v>90</v>
      </c>
      <c r="D465" s="103" t="s">
        <v>1056</v>
      </c>
      <c r="E465" s="103" t="s">
        <v>1057</v>
      </c>
      <c r="F465" s="103">
        <v>34.080570109999996</v>
      </c>
      <c r="G465" s="103">
        <v>44.918973106700001</v>
      </c>
      <c r="H465" s="102">
        <v>318</v>
      </c>
      <c r="I465" s="102">
        <v>1908</v>
      </c>
      <c r="J465" s="103"/>
      <c r="K465" s="103"/>
      <c r="L465" s="103"/>
      <c r="M465" s="103">
        <v>318</v>
      </c>
      <c r="N465" s="103"/>
      <c r="O465" s="103"/>
      <c r="P465" s="103"/>
      <c r="Q465" s="103"/>
      <c r="R465" s="103"/>
      <c r="S465" s="103"/>
      <c r="T465" s="103"/>
      <c r="U465" s="103"/>
      <c r="V465" s="103"/>
      <c r="W465" s="103"/>
      <c r="X465" s="103"/>
      <c r="Y465" s="103"/>
      <c r="Z465" s="103">
        <v>230</v>
      </c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>
        <v>88</v>
      </c>
      <c r="AK465" s="103"/>
      <c r="AL465" s="103"/>
      <c r="AM465" s="103"/>
      <c r="AN465" s="103">
        <v>318</v>
      </c>
      <c r="AO465" s="103"/>
      <c r="AP465" s="103"/>
      <c r="AQ465" s="103"/>
      <c r="AR465" s="103"/>
      <c r="AS465" s="103"/>
      <c r="AT465" s="103"/>
      <c r="AU465" s="103"/>
      <c r="AV465" s="103"/>
      <c r="AW465" s="104" t="str">
        <f>HYPERLINK("http://www.openstreetmap.org/?mlat=34.0806&amp;mlon=44.919&amp;zoom=12#map=12/34.0806/44.919","Maplink1")</f>
        <v>Maplink1</v>
      </c>
      <c r="AX465" s="104" t="str">
        <f>HYPERLINK("https://www.google.iq/maps/search/+34.0806,44.919/@34.0806,44.919,14z?hl=en","Maplink2")</f>
        <v>Maplink2</v>
      </c>
      <c r="AY465" s="104" t="str">
        <f>HYPERLINK("http://www.bing.com/maps/?lvl=14&amp;sty=h&amp;cp=34.0806~44.919&amp;sp=point.34.0806_44.919","Maplink3")</f>
        <v>Maplink3</v>
      </c>
    </row>
    <row r="466" spans="1:51" x14ac:dyDescent="0.2">
      <c r="A466" s="102">
        <v>25671</v>
      </c>
      <c r="B466" s="103" t="s">
        <v>32</v>
      </c>
      <c r="C466" s="103" t="s">
        <v>90</v>
      </c>
      <c r="D466" s="103" t="s">
        <v>1058</v>
      </c>
      <c r="E466" s="103" t="s">
        <v>1059</v>
      </c>
      <c r="F466" s="103">
        <v>34.040577999999996</v>
      </c>
      <c r="G466" s="103">
        <v>44.880882102000001</v>
      </c>
      <c r="H466" s="102">
        <v>272</v>
      </c>
      <c r="I466" s="102">
        <v>1632</v>
      </c>
      <c r="J466" s="103"/>
      <c r="K466" s="103"/>
      <c r="L466" s="103"/>
      <c r="M466" s="103">
        <v>272</v>
      </c>
      <c r="N466" s="103"/>
      <c r="O466" s="103"/>
      <c r="P466" s="103"/>
      <c r="Q466" s="103"/>
      <c r="R466" s="103"/>
      <c r="S466" s="103"/>
      <c r="T466" s="103"/>
      <c r="U466" s="103"/>
      <c r="V466" s="103"/>
      <c r="W466" s="103"/>
      <c r="X466" s="103"/>
      <c r="Y466" s="103"/>
      <c r="Z466" s="103">
        <v>184</v>
      </c>
      <c r="AA466" s="103"/>
      <c r="AB466" s="103"/>
      <c r="AC466" s="103">
        <v>38</v>
      </c>
      <c r="AD466" s="103"/>
      <c r="AE466" s="103"/>
      <c r="AF466" s="103"/>
      <c r="AG466" s="103"/>
      <c r="AH466" s="103"/>
      <c r="AI466" s="103"/>
      <c r="AJ466" s="103">
        <v>50</v>
      </c>
      <c r="AK466" s="103"/>
      <c r="AL466" s="103"/>
      <c r="AM466" s="103"/>
      <c r="AN466" s="103"/>
      <c r="AO466" s="103"/>
      <c r="AP466" s="103">
        <v>272</v>
      </c>
      <c r="AQ466" s="103"/>
      <c r="AR466" s="103"/>
      <c r="AS466" s="103"/>
      <c r="AT466" s="103"/>
      <c r="AU466" s="103"/>
      <c r="AV466" s="103"/>
      <c r="AW466" s="104" t="str">
        <f>HYPERLINK("http://www.openstreetmap.org/?mlat=34.0406&amp;mlon=44.8809&amp;zoom=12#map=12/34.0406/44.8809","Maplink1")</f>
        <v>Maplink1</v>
      </c>
      <c r="AX466" s="104" t="str">
        <f>HYPERLINK("https://www.google.iq/maps/search/+34.0406,44.8809/@34.0406,44.8809,14z?hl=en","Maplink2")</f>
        <v>Maplink2</v>
      </c>
      <c r="AY466" s="104" t="str">
        <f>HYPERLINK("http://www.bing.com/maps/?lvl=14&amp;sty=h&amp;cp=34.0406~44.8809&amp;sp=point.34.0406_44.8809","Maplink3")</f>
        <v>Maplink3</v>
      </c>
    </row>
    <row r="467" spans="1:51" x14ac:dyDescent="0.2">
      <c r="A467" s="102">
        <v>21165</v>
      </c>
      <c r="B467" s="103" t="s">
        <v>32</v>
      </c>
      <c r="C467" s="103" t="s">
        <v>90</v>
      </c>
      <c r="D467" s="103" t="s">
        <v>1060</v>
      </c>
      <c r="E467" s="103" t="s">
        <v>1061</v>
      </c>
      <c r="F467" s="103">
        <v>34.429904999999998</v>
      </c>
      <c r="G467" s="103">
        <v>44.513587779200002</v>
      </c>
      <c r="H467" s="102">
        <v>175</v>
      </c>
      <c r="I467" s="102">
        <v>1050</v>
      </c>
      <c r="J467" s="103"/>
      <c r="K467" s="103"/>
      <c r="L467" s="103"/>
      <c r="M467" s="103">
        <v>110</v>
      </c>
      <c r="N467" s="103">
        <v>65</v>
      </c>
      <c r="O467" s="103"/>
      <c r="P467" s="103"/>
      <c r="Q467" s="103"/>
      <c r="R467" s="103"/>
      <c r="S467" s="103"/>
      <c r="T467" s="103"/>
      <c r="U467" s="103"/>
      <c r="V467" s="103"/>
      <c r="W467" s="103"/>
      <c r="X467" s="103"/>
      <c r="Y467" s="103"/>
      <c r="Z467" s="103">
        <v>110</v>
      </c>
      <c r="AA467" s="103"/>
      <c r="AB467" s="103"/>
      <c r="AC467" s="103">
        <v>55</v>
      </c>
      <c r="AD467" s="103"/>
      <c r="AE467" s="103"/>
      <c r="AF467" s="103"/>
      <c r="AG467" s="103"/>
      <c r="AH467" s="103"/>
      <c r="AI467" s="103"/>
      <c r="AJ467" s="103">
        <v>10</v>
      </c>
      <c r="AK467" s="103"/>
      <c r="AL467" s="103"/>
      <c r="AM467" s="103"/>
      <c r="AN467" s="103">
        <v>175</v>
      </c>
      <c r="AO467" s="103"/>
      <c r="AP467" s="103"/>
      <c r="AQ467" s="103"/>
      <c r="AR467" s="103"/>
      <c r="AS467" s="103"/>
      <c r="AT467" s="103"/>
      <c r="AU467" s="103"/>
      <c r="AV467" s="103"/>
      <c r="AW467" s="104" t="str">
        <f>HYPERLINK("http://www.openstreetmap.org/?mlat=34.4299&amp;mlon=44.5136&amp;zoom=12#map=12/34.4299/44.5136","Maplink1")</f>
        <v>Maplink1</v>
      </c>
      <c r="AX467" s="104" t="str">
        <f>HYPERLINK("https://www.google.iq/maps/search/+34.4299,44.5136/@34.4299,44.5136,14z?hl=en","Maplink2")</f>
        <v>Maplink2</v>
      </c>
      <c r="AY467" s="104" t="str">
        <f>HYPERLINK("http://www.bing.com/maps/?lvl=14&amp;sty=h&amp;cp=34.4299~44.5136&amp;sp=point.34.4299_44.5136","Maplink3")</f>
        <v>Maplink3</v>
      </c>
    </row>
    <row r="468" spans="1:51" x14ac:dyDescent="0.2">
      <c r="A468" s="102">
        <v>27170</v>
      </c>
      <c r="B468" s="103" t="s">
        <v>32</v>
      </c>
      <c r="C468" s="103" t="s">
        <v>90</v>
      </c>
      <c r="D468" s="103" t="s">
        <v>1014</v>
      </c>
      <c r="E468" s="103" t="s">
        <v>1015</v>
      </c>
      <c r="F468" s="103">
        <v>34.232659870399999</v>
      </c>
      <c r="G468" s="103">
        <v>44.517678546900001</v>
      </c>
      <c r="H468" s="102">
        <v>5</v>
      </c>
      <c r="I468" s="102">
        <v>30</v>
      </c>
      <c r="J468" s="103"/>
      <c r="K468" s="103"/>
      <c r="L468" s="103"/>
      <c r="M468" s="103">
        <v>4</v>
      </c>
      <c r="N468" s="103">
        <v>1</v>
      </c>
      <c r="O468" s="103"/>
      <c r="P468" s="103"/>
      <c r="Q468" s="103"/>
      <c r="R468" s="103"/>
      <c r="S468" s="103"/>
      <c r="T468" s="103"/>
      <c r="U468" s="103"/>
      <c r="V468" s="103"/>
      <c r="W468" s="103"/>
      <c r="X468" s="103"/>
      <c r="Y468" s="103"/>
      <c r="Z468" s="103"/>
      <c r="AA468" s="103"/>
      <c r="AB468" s="103"/>
      <c r="AC468" s="103">
        <v>5</v>
      </c>
      <c r="AD468" s="103"/>
      <c r="AE468" s="103"/>
      <c r="AF468" s="103"/>
      <c r="AG468" s="103"/>
      <c r="AH468" s="103"/>
      <c r="AI468" s="103"/>
      <c r="AJ468" s="103"/>
      <c r="AK468" s="103"/>
      <c r="AL468" s="103"/>
      <c r="AM468" s="103"/>
      <c r="AN468" s="103">
        <v>5</v>
      </c>
      <c r="AO468" s="103"/>
      <c r="AP468" s="103"/>
      <c r="AQ468" s="103"/>
      <c r="AR468" s="103"/>
      <c r="AS468" s="103"/>
      <c r="AT468" s="103"/>
      <c r="AU468" s="103"/>
      <c r="AV468" s="103"/>
      <c r="AW468" s="104" t="str">
        <f>HYPERLINK("http://www.openstreetmap.org/?mlat=34.2327&amp;mlon=44.5177&amp;zoom=12#map=12/34.2327/44.5177","Maplink1")</f>
        <v>Maplink1</v>
      </c>
      <c r="AX468" s="104" t="str">
        <f>HYPERLINK("https://www.google.iq/maps/search/+34.2327,44.5177/@34.2327,44.5177,14z?hl=en","Maplink2")</f>
        <v>Maplink2</v>
      </c>
      <c r="AY468" s="104" t="str">
        <f>HYPERLINK("http://www.bing.com/maps/?lvl=14&amp;sty=h&amp;cp=34.2327~44.5177&amp;sp=point.34.2327_44.5177","Maplink3")</f>
        <v>Maplink3</v>
      </c>
    </row>
    <row r="469" spans="1:51" x14ac:dyDescent="0.2">
      <c r="A469" s="102">
        <v>11270</v>
      </c>
      <c r="B469" s="103" t="s">
        <v>32</v>
      </c>
      <c r="C469" s="103" t="s">
        <v>90</v>
      </c>
      <c r="D469" s="103" t="s">
        <v>1016</v>
      </c>
      <c r="E469" s="103" t="s">
        <v>1017</v>
      </c>
      <c r="F469" s="103">
        <v>34.36468541</v>
      </c>
      <c r="G469" s="103">
        <v>44.601970008400002</v>
      </c>
      <c r="H469" s="102">
        <v>126</v>
      </c>
      <c r="I469" s="102">
        <v>756</v>
      </c>
      <c r="J469" s="103"/>
      <c r="K469" s="103"/>
      <c r="L469" s="103"/>
      <c r="M469" s="103">
        <v>101</v>
      </c>
      <c r="N469" s="103">
        <v>25</v>
      </c>
      <c r="O469" s="103"/>
      <c r="P469" s="103"/>
      <c r="Q469" s="103"/>
      <c r="R469" s="103"/>
      <c r="S469" s="103"/>
      <c r="T469" s="103"/>
      <c r="U469" s="103"/>
      <c r="V469" s="103"/>
      <c r="W469" s="103"/>
      <c r="X469" s="103"/>
      <c r="Y469" s="103"/>
      <c r="Z469" s="103">
        <v>4</v>
      </c>
      <c r="AA469" s="103"/>
      <c r="AB469" s="103"/>
      <c r="AC469" s="103">
        <v>122</v>
      </c>
      <c r="AD469" s="103"/>
      <c r="AE469" s="103"/>
      <c r="AF469" s="103"/>
      <c r="AG469" s="103"/>
      <c r="AH469" s="103"/>
      <c r="AI469" s="103"/>
      <c r="AJ469" s="103"/>
      <c r="AK469" s="103"/>
      <c r="AL469" s="103"/>
      <c r="AM469" s="103"/>
      <c r="AN469" s="103">
        <v>126</v>
      </c>
      <c r="AO469" s="103"/>
      <c r="AP469" s="103"/>
      <c r="AQ469" s="103"/>
      <c r="AR469" s="103"/>
      <c r="AS469" s="103"/>
      <c r="AT469" s="103"/>
      <c r="AU469" s="103"/>
      <c r="AV469" s="103"/>
      <c r="AW469" s="104" t="str">
        <f>HYPERLINK("http://www.openstreetmap.org/?mlat=34.3647&amp;mlon=44.602&amp;zoom=12#map=12/34.3647/44.602","Maplink1")</f>
        <v>Maplink1</v>
      </c>
      <c r="AX469" s="104" t="str">
        <f>HYPERLINK("https://www.google.iq/maps/search/+34.3647,44.602/@34.3647,44.602,14z?hl=en","Maplink2")</f>
        <v>Maplink2</v>
      </c>
      <c r="AY469" s="104" t="str">
        <f>HYPERLINK("http://www.bing.com/maps/?lvl=14&amp;sty=h&amp;cp=34.3647~44.602&amp;sp=point.34.3647_44.602","Maplink3")</f>
        <v>Maplink3</v>
      </c>
    </row>
    <row r="470" spans="1:51" x14ac:dyDescent="0.2">
      <c r="A470" s="102">
        <v>32019</v>
      </c>
      <c r="B470" s="103" t="s">
        <v>32</v>
      </c>
      <c r="C470" s="103" t="s">
        <v>90</v>
      </c>
      <c r="D470" s="103" t="s">
        <v>1018</v>
      </c>
      <c r="E470" s="103" t="s">
        <v>1019</v>
      </c>
      <c r="F470" s="103">
        <v>34.415520999999998</v>
      </c>
      <c r="G470" s="103">
        <v>44.588194281900002</v>
      </c>
      <c r="H470" s="102">
        <v>18</v>
      </c>
      <c r="I470" s="102">
        <v>108</v>
      </c>
      <c r="J470" s="103"/>
      <c r="K470" s="103"/>
      <c r="L470" s="103"/>
      <c r="M470" s="103">
        <v>14</v>
      </c>
      <c r="N470" s="103">
        <v>4</v>
      </c>
      <c r="O470" s="103"/>
      <c r="P470" s="103"/>
      <c r="Q470" s="103"/>
      <c r="R470" s="103"/>
      <c r="S470" s="103"/>
      <c r="T470" s="103"/>
      <c r="U470" s="103"/>
      <c r="V470" s="103"/>
      <c r="W470" s="103"/>
      <c r="X470" s="103"/>
      <c r="Y470" s="103"/>
      <c r="Z470" s="103"/>
      <c r="AA470" s="103"/>
      <c r="AB470" s="103"/>
      <c r="AC470" s="103">
        <v>11</v>
      </c>
      <c r="AD470" s="103"/>
      <c r="AE470" s="103"/>
      <c r="AF470" s="103"/>
      <c r="AG470" s="103"/>
      <c r="AH470" s="103"/>
      <c r="AI470" s="103"/>
      <c r="AJ470" s="103">
        <v>7</v>
      </c>
      <c r="AK470" s="103"/>
      <c r="AL470" s="103"/>
      <c r="AM470" s="103"/>
      <c r="AN470" s="103">
        <v>18</v>
      </c>
      <c r="AO470" s="103"/>
      <c r="AP470" s="103"/>
      <c r="AQ470" s="103"/>
      <c r="AR470" s="103"/>
      <c r="AS470" s="103"/>
      <c r="AT470" s="103"/>
      <c r="AU470" s="103"/>
      <c r="AV470" s="103"/>
      <c r="AW470" s="104" t="str">
        <f>HYPERLINK("http://www.openstreetmap.org/?mlat=34.4155&amp;mlon=44.5882&amp;zoom=12#map=12/34.4155/44.5882","Maplink1")</f>
        <v>Maplink1</v>
      </c>
      <c r="AX470" s="104" t="str">
        <f>HYPERLINK("https://www.google.iq/maps/search/+34.4155,44.5882/@34.4155,44.5882,14z?hl=en","Maplink2")</f>
        <v>Maplink2</v>
      </c>
      <c r="AY470" s="104" t="str">
        <f>HYPERLINK("http://www.bing.com/maps/?lvl=14&amp;sty=h&amp;cp=34.4155~44.5882&amp;sp=point.34.4155_44.5882","Maplink3")</f>
        <v>Maplink3</v>
      </c>
    </row>
    <row r="471" spans="1:51" x14ac:dyDescent="0.2">
      <c r="A471" s="102">
        <v>27182</v>
      </c>
      <c r="B471" s="103" t="s">
        <v>32</v>
      </c>
      <c r="C471" s="103" t="s">
        <v>90</v>
      </c>
      <c r="D471" s="103" t="s">
        <v>1107</v>
      </c>
      <c r="E471" s="103" t="s">
        <v>1108</v>
      </c>
      <c r="F471" s="103">
        <v>34.216153640000002</v>
      </c>
      <c r="G471" s="103">
        <v>44.511869406599999</v>
      </c>
      <c r="H471" s="102">
        <v>33</v>
      </c>
      <c r="I471" s="102">
        <v>198</v>
      </c>
      <c r="J471" s="103"/>
      <c r="K471" s="103"/>
      <c r="L471" s="103"/>
      <c r="M471" s="103">
        <v>33</v>
      </c>
      <c r="N471" s="103"/>
      <c r="O471" s="103"/>
      <c r="P471" s="103"/>
      <c r="Q471" s="103"/>
      <c r="R471" s="103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  <c r="AC471" s="103">
        <v>33</v>
      </c>
      <c r="AD471" s="103"/>
      <c r="AE471" s="103"/>
      <c r="AF471" s="103"/>
      <c r="AG471" s="103"/>
      <c r="AH471" s="103"/>
      <c r="AI471" s="103"/>
      <c r="AJ471" s="103"/>
      <c r="AK471" s="103"/>
      <c r="AL471" s="103"/>
      <c r="AM471" s="103"/>
      <c r="AN471" s="103">
        <v>33</v>
      </c>
      <c r="AO471" s="103"/>
      <c r="AP471" s="103"/>
      <c r="AQ471" s="103"/>
      <c r="AR471" s="103"/>
      <c r="AS471" s="103"/>
      <c r="AT471" s="103"/>
      <c r="AU471" s="103"/>
      <c r="AV471" s="103"/>
      <c r="AW471" s="104" t="str">
        <f>HYPERLINK("http://www.openstreetmap.org/?mlat=34.2162&amp;mlon=44.5119&amp;zoom=12#map=12/34.2162/44.5119","Maplink1")</f>
        <v>Maplink1</v>
      </c>
      <c r="AX471" s="104" t="str">
        <f>HYPERLINK("https://www.google.iq/maps/search/+34.2162,44.5119/@34.2162,44.5119,14z?hl=en","Maplink2")</f>
        <v>Maplink2</v>
      </c>
      <c r="AY471" s="104" t="str">
        <f>HYPERLINK("http://www.bing.com/maps/?lvl=14&amp;sty=h&amp;cp=34.2162~44.5119&amp;sp=point.34.2162_44.5119","Maplink3")</f>
        <v>Maplink3</v>
      </c>
    </row>
    <row r="472" spans="1:51" x14ac:dyDescent="0.2">
      <c r="A472" s="102">
        <v>21162</v>
      </c>
      <c r="B472" s="103" t="s">
        <v>32</v>
      </c>
      <c r="C472" s="103" t="s">
        <v>90</v>
      </c>
      <c r="D472" s="103" t="s">
        <v>1109</v>
      </c>
      <c r="E472" s="103" t="s">
        <v>1110</v>
      </c>
      <c r="F472" s="103">
        <v>34.216579070000002</v>
      </c>
      <c r="G472" s="103">
        <v>44.469131413500001</v>
      </c>
      <c r="H472" s="102">
        <v>34</v>
      </c>
      <c r="I472" s="102">
        <v>204</v>
      </c>
      <c r="J472" s="103"/>
      <c r="K472" s="103"/>
      <c r="L472" s="103"/>
      <c r="M472" s="103">
        <v>34</v>
      </c>
      <c r="N472" s="103"/>
      <c r="O472" s="103"/>
      <c r="P472" s="103"/>
      <c r="Q472" s="103"/>
      <c r="R472" s="103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C472" s="103">
        <v>34</v>
      </c>
      <c r="AD472" s="103"/>
      <c r="AE472" s="103"/>
      <c r="AF472" s="103"/>
      <c r="AG472" s="103"/>
      <c r="AH472" s="103"/>
      <c r="AI472" s="103"/>
      <c r="AJ472" s="103"/>
      <c r="AK472" s="103"/>
      <c r="AL472" s="103"/>
      <c r="AM472" s="103"/>
      <c r="AN472" s="103">
        <v>34</v>
      </c>
      <c r="AO472" s="103"/>
      <c r="AP472" s="103"/>
      <c r="AQ472" s="103"/>
      <c r="AR472" s="103"/>
      <c r="AS472" s="103"/>
      <c r="AT472" s="103"/>
      <c r="AU472" s="103"/>
      <c r="AV472" s="103"/>
      <c r="AW472" s="104" t="str">
        <f>HYPERLINK("http://www.openstreetmap.org/?mlat=34.2166&amp;mlon=44.4691&amp;zoom=12#map=12/34.2166/44.4691","Maplink1")</f>
        <v>Maplink1</v>
      </c>
      <c r="AX472" s="104" t="str">
        <f>HYPERLINK("https://www.google.iq/maps/search/+34.2166,44.4691/@34.2166,44.4691,14z?hl=en","Maplink2")</f>
        <v>Maplink2</v>
      </c>
      <c r="AY472" s="104" t="str">
        <f>HYPERLINK("http://www.bing.com/maps/?lvl=14&amp;sty=h&amp;cp=34.2166~44.4691&amp;sp=point.34.2166_44.4691","Maplink3")</f>
        <v>Maplink3</v>
      </c>
    </row>
    <row r="473" spans="1:51" x14ac:dyDescent="0.2">
      <c r="A473" s="102">
        <v>27173</v>
      </c>
      <c r="B473" s="103" t="s">
        <v>32</v>
      </c>
      <c r="C473" s="103" t="s">
        <v>90</v>
      </c>
      <c r="D473" s="103" t="s">
        <v>1111</v>
      </c>
      <c r="E473" s="103" t="s">
        <v>1112</v>
      </c>
      <c r="F473" s="103">
        <v>34.115016389200001</v>
      </c>
      <c r="G473" s="103">
        <v>44.413637650299997</v>
      </c>
      <c r="H473" s="102">
        <v>13</v>
      </c>
      <c r="I473" s="102">
        <v>78</v>
      </c>
      <c r="J473" s="103"/>
      <c r="K473" s="103"/>
      <c r="L473" s="103"/>
      <c r="M473" s="103">
        <v>13</v>
      </c>
      <c r="N473" s="103"/>
      <c r="O473" s="103"/>
      <c r="P473" s="103"/>
      <c r="Q473" s="103"/>
      <c r="R473" s="103"/>
      <c r="S473" s="103"/>
      <c r="T473" s="103"/>
      <c r="U473" s="103"/>
      <c r="V473" s="103"/>
      <c r="W473" s="103"/>
      <c r="X473" s="103"/>
      <c r="Y473" s="103"/>
      <c r="Z473" s="103"/>
      <c r="AA473" s="103"/>
      <c r="AB473" s="103"/>
      <c r="AC473" s="103">
        <v>13</v>
      </c>
      <c r="AD473" s="103"/>
      <c r="AE473" s="103"/>
      <c r="AF473" s="103"/>
      <c r="AG473" s="103"/>
      <c r="AH473" s="103"/>
      <c r="AI473" s="103"/>
      <c r="AJ473" s="103"/>
      <c r="AK473" s="103"/>
      <c r="AL473" s="103"/>
      <c r="AM473" s="103"/>
      <c r="AN473" s="103">
        <v>13</v>
      </c>
      <c r="AO473" s="103"/>
      <c r="AP473" s="103"/>
      <c r="AQ473" s="103"/>
      <c r="AR473" s="103"/>
      <c r="AS473" s="103"/>
      <c r="AT473" s="103"/>
      <c r="AU473" s="103"/>
      <c r="AV473" s="103"/>
      <c r="AW473" s="104" t="str">
        <f>HYPERLINK("http://www.openstreetmap.org/?mlat=34.115&amp;mlon=44.4136&amp;zoom=12#map=12/34.115/44.4136","Maplink1")</f>
        <v>Maplink1</v>
      </c>
      <c r="AX473" s="104" t="str">
        <f>HYPERLINK("https://www.google.iq/maps/search/+34.115,44.4136/@34.115,44.4136,14z?hl=en","Maplink2")</f>
        <v>Maplink2</v>
      </c>
      <c r="AY473" s="104" t="str">
        <f>HYPERLINK("http://www.bing.com/maps/?lvl=14&amp;sty=h&amp;cp=34.115~44.4136&amp;sp=point.34.115_44.4136","Maplink3")</f>
        <v>Maplink3</v>
      </c>
    </row>
    <row r="474" spans="1:51" x14ac:dyDescent="0.2">
      <c r="A474" s="102">
        <v>27167</v>
      </c>
      <c r="B474" s="103" t="s">
        <v>32</v>
      </c>
      <c r="C474" s="103" t="s">
        <v>90</v>
      </c>
      <c r="D474" s="103" t="s">
        <v>1113</v>
      </c>
      <c r="E474" s="103" t="s">
        <v>1114</v>
      </c>
      <c r="F474" s="103">
        <v>34.104028530199997</v>
      </c>
      <c r="G474" s="103">
        <v>44.415800787499997</v>
      </c>
      <c r="H474" s="102">
        <v>15</v>
      </c>
      <c r="I474" s="102">
        <v>90</v>
      </c>
      <c r="J474" s="103"/>
      <c r="K474" s="103"/>
      <c r="L474" s="103"/>
      <c r="M474" s="103">
        <v>15</v>
      </c>
      <c r="N474" s="103"/>
      <c r="O474" s="103"/>
      <c r="P474" s="103"/>
      <c r="Q474" s="103"/>
      <c r="R474" s="103"/>
      <c r="S474" s="103"/>
      <c r="T474" s="103"/>
      <c r="U474" s="103"/>
      <c r="V474" s="103"/>
      <c r="W474" s="103"/>
      <c r="X474" s="103"/>
      <c r="Y474" s="103"/>
      <c r="Z474" s="103"/>
      <c r="AA474" s="103"/>
      <c r="AB474" s="103"/>
      <c r="AC474" s="103">
        <v>15</v>
      </c>
      <c r="AD474" s="103"/>
      <c r="AE474" s="103"/>
      <c r="AF474" s="103"/>
      <c r="AG474" s="103"/>
      <c r="AH474" s="103"/>
      <c r="AI474" s="103"/>
      <c r="AJ474" s="103"/>
      <c r="AK474" s="103"/>
      <c r="AL474" s="103"/>
      <c r="AM474" s="103"/>
      <c r="AN474" s="103">
        <v>15</v>
      </c>
      <c r="AO474" s="103"/>
      <c r="AP474" s="103"/>
      <c r="AQ474" s="103"/>
      <c r="AR474" s="103"/>
      <c r="AS474" s="103"/>
      <c r="AT474" s="103"/>
      <c r="AU474" s="103"/>
      <c r="AV474" s="103"/>
      <c r="AW474" s="104" t="str">
        <f>HYPERLINK("http://www.openstreetmap.org/?mlat=34.104&amp;mlon=44.4158&amp;zoom=12#map=12/34.104/44.4158","Maplink1")</f>
        <v>Maplink1</v>
      </c>
      <c r="AX474" s="104" t="str">
        <f>HYPERLINK("https://www.google.iq/maps/search/+34.104,44.4158/@34.104,44.4158,14z?hl=en","Maplink2")</f>
        <v>Maplink2</v>
      </c>
      <c r="AY474" s="104" t="str">
        <f>HYPERLINK("http://www.bing.com/maps/?lvl=14&amp;sty=h&amp;cp=34.104~44.4158&amp;sp=point.34.104_44.4158","Maplink3")</f>
        <v>Maplink3</v>
      </c>
    </row>
    <row r="475" spans="1:51" x14ac:dyDescent="0.2">
      <c r="A475" s="102">
        <v>29610</v>
      </c>
      <c r="B475" s="103" t="s">
        <v>32</v>
      </c>
      <c r="C475" s="103" t="s">
        <v>90</v>
      </c>
      <c r="D475" s="103" t="s">
        <v>1115</v>
      </c>
      <c r="E475" s="103" t="s">
        <v>1116</v>
      </c>
      <c r="F475" s="103">
        <v>34.511683087800002</v>
      </c>
      <c r="G475" s="103">
        <v>44.542735049000001</v>
      </c>
      <c r="H475" s="102">
        <v>106</v>
      </c>
      <c r="I475" s="102">
        <v>636</v>
      </c>
      <c r="J475" s="103"/>
      <c r="K475" s="103"/>
      <c r="L475" s="103"/>
      <c r="M475" s="103">
        <v>100</v>
      </c>
      <c r="N475" s="103">
        <v>6</v>
      </c>
      <c r="O475" s="103"/>
      <c r="P475" s="103"/>
      <c r="Q475" s="103"/>
      <c r="R475" s="103"/>
      <c r="S475" s="103"/>
      <c r="T475" s="103"/>
      <c r="U475" s="103"/>
      <c r="V475" s="103"/>
      <c r="W475" s="103"/>
      <c r="X475" s="103"/>
      <c r="Y475" s="103"/>
      <c r="Z475" s="103"/>
      <c r="AA475" s="103"/>
      <c r="AB475" s="103"/>
      <c r="AC475" s="103">
        <v>106</v>
      </c>
      <c r="AD475" s="103"/>
      <c r="AE475" s="103"/>
      <c r="AF475" s="103"/>
      <c r="AG475" s="103"/>
      <c r="AH475" s="103"/>
      <c r="AI475" s="103"/>
      <c r="AJ475" s="103"/>
      <c r="AK475" s="103"/>
      <c r="AL475" s="103"/>
      <c r="AM475" s="103"/>
      <c r="AN475" s="103">
        <v>106</v>
      </c>
      <c r="AO475" s="103"/>
      <c r="AP475" s="103"/>
      <c r="AQ475" s="103"/>
      <c r="AR475" s="103"/>
      <c r="AS475" s="103"/>
      <c r="AT475" s="103"/>
      <c r="AU475" s="103"/>
      <c r="AV475" s="103"/>
      <c r="AW475" s="104" t="str">
        <f>HYPERLINK("http://www.openstreetmap.org/?mlat=34.5117&amp;mlon=44.5427&amp;zoom=12#map=12/34.5117/44.5427","Maplink1")</f>
        <v>Maplink1</v>
      </c>
      <c r="AX475" s="104" t="str">
        <f>HYPERLINK("https://www.google.iq/maps/search/+34.5117,44.5427/@34.5117,44.5427,14z?hl=en","Maplink2")</f>
        <v>Maplink2</v>
      </c>
      <c r="AY475" s="104" t="str">
        <f>HYPERLINK("http://www.bing.com/maps/?lvl=14&amp;sty=h&amp;cp=34.5117~44.5427&amp;sp=point.34.5117_44.5427","Maplink3")</f>
        <v>Maplink3</v>
      </c>
    </row>
    <row r="476" spans="1:51" x14ac:dyDescent="0.2">
      <c r="A476" s="102">
        <v>25681</v>
      </c>
      <c r="B476" s="103" t="s">
        <v>32</v>
      </c>
      <c r="C476" s="103" t="s">
        <v>90</v>
      </c>
      <c r="D476" s="103" t="s">
        <v>1054</v>
      </c>
      <c r="E476" s="103" t="s">
        <v>1055</v>
      </c>
      <c r="F476" s="103">
        <v>34.12538413</v>
      </c>
      <c r="G476" s="103">
        <v>44.841471405900002</v>
      </c>
      <c r="H476" s="102">
        <v>12</v>
      </c>
      <c r="I476" s="102">
        <v>72</v>
      </c>
      <c r="J476" s="103"/>
      <c r="K476" s="103"/>
      <c r="L476" s="103"/>
      <c r="M476" s="103">
        <v>12</v>
      </c>
      <c r="N476" s="103"/>
      <c r="O476" s="103"/>
      <c r="P476" s="103"/>
      <c r="Q476" s="103"/>
      <c r="R476" s="103"/>
      <c r="S476" s="103"/>
      <c r="T476" s="103"/>
      <c r="U476" s="103"/>
      <c r="V476" s="103"/>
      <c r="W476" s="103"/>
      <c r="X476" s="103"/>
      <c r="Y476" s="103"/>
      <c r="Z476" s="103">
        <v>10</v>
      </c>
      <c r="AA476" s="103"/>
      <c r="AB476" s="103"/>
      <c r="AC476" s="103">
        <v>2</v>
      </c>
      <c r="AD476" s="103"/>
      <c r="AE476" s="103"/>
      <c r="AF476" s="103"/>
      <c r="AG476" s="103"/>
      <c r="AH476" s="103"/>
      <c r="AI476" s="103"/>
      <c r="AJ476" s="103"/>
      <c r="AK476" s="103"/>
      <c r="AL476" s="103"/>
      <c r="AM476" s="103"/>
      <c r="AN476" s="103"/>
      <c r="AO476" s="103"/>
      <c r="AP476" s="103">
        <v>12</v>
      </c>
      <c r="AQ476" s="103"/>
      <c r="AR476" s="103"/>
      <c r="AS476" s="103"/>
      <c r="AT476" s="103"/>
      <c r="AU476" s="103"/>
      <c r="AV476" s="103"/>
      <c r="AW476" s="104" t="str">
        <f>HYPERLINK("http://www.openstreetmap.org/?mlat=34.1254&amp;mlon=44.8415&amp;zoom=12#map=12/34.1254/44.8415","Maplink1")</f>
        <v>Maplink1</v>
      </c>
      <c r="AX476" s="104" t="str">
        <f>HYPERLINK("https://www.google.iq/maps/search/+34.1254,44.8415/@34.1254,44.8415,14z?hl=en","Maplink2")</f>
        <v>Maplink2</v>
      </c>
      <c r="AY476" s="104" t="str">
        <f>HYPERLINK("http://www.bing.com/maps/?lvl=14&amp;sty=h&amp;cp=34.1254~44.8415&amp;sp=point.34.1254_44.8415","Maplink3")</f>
        <v>Maplink3</v>
      </c>
    </row>
    <row r="477" spans="1:51" x14ac:dyDescent="0.2">
      <c r="A477" s="102">
        <v>27158</v>
      </c>
      <c r="B477" s="103" t="s">
        <v>32</v>
      </c>
      <c r="C477" s="103" t="s">
        <v>90</v>
      </c>
      <c r="D477" s="103" t="s">
        <v>1008</v>
      </c>
      <c r="E477" s="103" t="s">
        <v>1009</v>
      </c>
      <c r="F477" s="103">
        <v>34.324035248199998</v>
      </c>
      <c r="G477" s="103">
        <v>44.723694665300002</v>
      </c>
      <c r="H477" s="102">
        <v>81</v>
      </c>
      <c r="I477" s="102">
        <v>486</v>
      </c>
      <c r="J477" s="103"/>
      <c r="K477" s="103"/>
      <c r="L477" s="103"/>
      <c r="M477" s="103">
        <v>71</v>
      </c>
      <c r="N477" s="103">
        <v>10</v>
      </c>
      <c r="O477" s="103"/>
      <c r="P477" s="103"/>
      <c r="Q477" s="103"/>
      <c r="R477" s="103"/>
      <c r="S477" s="103"/>
      <c r="T477" s="103"/>
      <c r="U477" s="103"/>
      <c r="V477" s="103"/>
      <c r="W477" s="103"/>
      <c r="X477" s="103"/>
      <c r="Y477" s="103"/>
      <c r="Z477" s="103">
        <v>6</v>
      </c>
      <c r="AA477" s="103"/>
      <c r="AB477" s="103"/>
      <c r="AC477" s="103">
        <v>75</v>
      </c>
      <c r="AD477" s="103"/>
      <c r="AE477" s="103"/>
      <c r="AF477" s="103"/>
      <c r="AG477" s="103"/>
      <c r="AH477" s="103"/>
      <c r="AI477" s="103"/>
      <c r="AJ477" s="103"/>
      <c r="AK477" s="103"/>
      <c r="AL477" s="103"/>
      <c r="AM477" s="103"/>
      <c r="AN477" s="103">
        <v>81</v>
      </c>
      <c r="AO477" s="103"/>
      <c r="AP477" s="103"/>
      <c r="AQ477" s="103"/>
      <c r="AR477" s="103"/>
      <c r="AS477" s="103"/>
      <c r="AT477" s="103"/>
      <c r="AU477" s="103"/>
      <c r="AV477" s="103"/>
      <c r="AW477" s="104" t="str">
        <f>HYPERLINK("http://www.openstreetmap.org/?mlat=34.324&amp;mlon=44.7237&amp;zoom=12#map=12/34.324/44.7237","Maplink1")</f>
        <v>Maplink1</v>
      </c>
      <c r="AX477" s="104" t="str">
        <f>HYPERLINK("https://www.google.iq/maps/search/+34.324,44.7237/@34.324,44.7237,14z?hl=en","Maplink2")</f>
        <v>Maplink2</v>
      </c>
      <c r="AY477" s="104" t="str">
        <f>HYPERLINK("http://www.bing.com/maps/?lvl=14&amp;sty=h&amp;cp=34.324~44.7237&amp;sp=point.34.324_44.7237","Maplink3")</f>
        <v>Maplink3</v>
      </c>
    </row>
    <row r="478" spans="1:51" x14ac:dyDescent="0.2">
      <c r="A478" s="102">
        <v>21221</v>
      </c>
      <c r="B478" s="103" t="s">
        <v>32</v>
      </c>
      <c r="C478" s="103" t="s">
        <v>90</v>
      </c>
      <c r="D478" s="103" t="s">
        <v>1010</v>
      </c>
      <c r="E478" s="103" t="s">
        <v>1011</v>
      </c>
      <c r="F478" s="103">
        <v>34.155734650699998</v>
      </c>
      <c r="G478" s="103">
        <v>44.493005941100002</v>
      </c>
      <c r="H478" s="102">
        <v>62</v>
      </c>
      <c r="I478" s="102">
        <v>372</v>
      </c>
      <c r="J478" s="103"/>
      <c r="K478" s="103"/>
      <c r="L478" s="103"/>
      <c r="M478" s="103">
        <v>47</v>
      </c>
      <c r="N478" s="103">
        <v>15</v>
      </c>
      <c r="O478" s="103"/>
      <c r="P478" s="103"/>
      <c r="Q478" s="103"/>
      <c r="R478" s="103"/>
      <c r="S478" s="103"/>
      <c r="T478" s="103"/>
      <c r="U478" s="103"/>
      <c r="V478" s="103"/>
      <c r="W478" s="103"/>
      <c r="X478" s="103"/>
      <c r="Y478" s="103"/>
      <c r="Z478" s="103">
        <v>7</v>
      </c>
      <c r="AA478" s="103"/>
      <c r="AB478" s="103"/>
      <c r="AC478" s="103">
        <v>55</v>
      </c>
      <c r="AD478" s="103"/>
      <c r="AE478" s="103"/>
      <c r="AF478" s="103"/>
      <c r="AG478" s="103"/>
      <c r="AH478" s="103"/>
      <c r="AI478" s="103"/>
      <c r="AJ478" s="103"/>
      <c r="AK478" s="103"/>
      <c r="AL478" s="103"/>
      <c r="AM478" s="103"/>
      <c r="AN478" s="103">
        <v>62</v>
      </c>
      <c r="AO478" s="103"/>
      <c r="AP478" s="103"/>
      <c r="AQ478" s="103"/>
      <c r="AR478" s="103"/>
      <c r="AS478" s="103"/>
      <c r="AT478" s="103"/>
      <c r="AU478" s="103"/>
      <c r="AV478" s="103"/>
      <c r="AW478" s="104" t="str">
        <f>HYPERLINK("http://www.openstreetmap.org/?mlat=34.1557&amp;mlon=44.493&amp;zoom=12#map=12/34.1557/44.493","Maplink1")</f>
        <v>Maplink1</v>
      </c>
      <c r="AX478" s="104" t="str">
        <f>HYPERLINK("https://www.google.iq/maps/search/+34.1557,44.493/@34.1557,44.493,14z?hl=en","Maplink2")</f>
        <v>Maplink2</v>
      </c>
      <c r="AY478" s="104" t="str">
        <f>HYPERLINK("http://www.bing.com/maps/?lvl=14&amp;sty=h&amp;cp=34.1557~44.493&amp;sp=point.34.1557_44.493","Maplink3")</f>
        <v>Maplink3</v>
      </c>
    </row>
    <row r="479" spans="1:51" x14ac:dyDescent="0.2">
      <c r="A479" s="102">
        <v>28445</v>
      </c>
      <c r="B479" s="103" t="s">
        <v>32</v>
      </c>
      <c r="C479" s="103" t="s">
        <v>90</v>
      </c>
      <c r="D479" s="103" t="s">
        <v>1012</v>
      </c>
      <c r="E479" s="103" t="s">
        <v>1013</v>
      </c>
      <c r="F479" s="103">
        <v>34.274324479999997</v>
      </c>
      <c r="G479" s="103">
        <v>44.538924798700002</v>
      </c>
      <c r="H479" s="102">
        <v>995</v>
      </c>
      <c r="I479" s="102">
        <v>5970</v>
      </c>
      <c r="J479" s="103"/>
      <c r="K479" s="103"/>
      <c r="L479" s="103"/>
      <c r="M479" s="103">
        <v>950</v>
      </c>
      <c r="N479" s="103">
        <v>45</v>
      </c>
      <c r="O479" s="103"/>
      <c r="P479" s="103"/>
      <c r="Q479" s="103"/>
      <c r="R479" s="103"/>
      <c r="S479" s="103"/>
      <c r="T479" s="103"/>
      <c r="U479" s="103"/>
      <c r="V479" s="103"/>
      <c r="W479" s="103"/>
      <c r="X479" s="103"/>
      <c r="Y479" s="103"/>
      <c r="Z479" s="103">
        <v>639</v>
      </c>
      <c r="AA479" s="103"/>
      <c r="AB479" s="103"/>
      <c r="AC479" s="103">
        <v>326</v>
      </c>
      <c r="AD479" s="103"/>
      <c r="AE479" s="103"/>
      <c r="AF479" s="103"/>
      <c r="AG479" s="103"/>
      <c r="AH479" s="103"/>
      <c r="AI479" s="103"/>
      <c r="AJ479" s="103">
        <v>30</v>
      </c>
      <c r="AK479" s="103"/>
      <c r="AL479" s="103"/>
      <c r="AM479" s="103"/>
      <c r="AN479" s="103">
        <v>995</v>
      </c>
      <c r="AO479" s="103"/>
      <c r="AP479" s="103"/>
      <c r="AQ479" s="103"/>
      <c r="AR479" s="103"/>
      <c r="AS479" s="103"/>
      <c r="AT479" s="103"/>
      <c r="AU479" s="103"/>
      <c r="AV479" s="103"/>
      <c r="AW479" s="104" t="str">
        <f>HYPERLINK("http://www.openstreetmap.org/?mlat=34.2743&amp;mlon=44.5389&amp;zoom=12#map=12/34.2743/44.5389","Maplink1")</f>
        <v>Maplink1</v>
      </c>
      <c r="AX479" s="104" t="str">
        <f>HYPERLINK("https://www.google.iq/maps/search/+34.2743,44.5389/@34.2743,44.5389,14z?hl=en","Maplink2")</f>
        <v>Maplink2</v>
      </c>
      <c r="AY479" s="104" t="str">
        <f>HYPERLINK("http://www.bing.com/maps/?lvl=14&amp;sty=h&amp;cp=34.2743~44.5389&amp;sp=point.34.2743_44.5389","Maplink3")</f>
        <v>Maplink3</v>
      </c>
    </row>
    <row r="480" spans="1:51" x14ac:dyDescent="0.2">
      <c r="A480" s="102">
        <v>28464</v>
      </c>
      <c r="B480" s="103" t="s">
        <v>32</v>
      </c>
      <c r="C480" s="103" t="s">
        <v>90</v>
      </c>
      <c r="D480" s="103" t="s">
        <v>996</v>
      </c>
      <c r="E480" s="103" t="s">
        <v>997</v>
      </c>
      <c r="F480" s="103">
        <v>34.242244960000001</v>
      </c>
      <c r="G480" s="103">
        <v>44.190703859899997</v>
      </c>
      <c r="H480" s="102">
        <v>38</v>
      </c>
      <c r="I480" s="102">
        <v>228</v>
      </c>
      <c r="J480" s="103"/>
      <c r="K480" s="103"/>
      <c r="L480" s="103"/>
      <c r="M480" s="103">
        <v>38</v>
      </c>
      <c r="N480" s="103"/>
      <c r="O480" s="103"/>
      <c r="P480" s="103"/>
      <c r="Q480" s="103"/>
      <c r="R480" s="103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  <c r="AC480" s="103">
        <v>38</v>
      </c>
      <c r="AD480" s="103"/>
      <c r="AE480" s="103"/>
      <c r="AF480" s="103"/>
      <c r="AG480" s="103"/>
      <c r="AH480" s="103"/>
      <c r="AI480" s="103"/>
      <c r="AJ480" s="103"/>
      <c r="AK480" s="103"/>
      <c r="AL480" s="103"/>
      <c r="AM480" s="103"/>
      <c r="AN480" s="103">
        <v>38</v>
      </c>
      <c r="AO480" s="103"/>
      <c r="AP480" s="103"/>
      <c r="AQ480" s="103"/>
      <c r="AR480" s="103"/>
      <c r="AS480" s="103"/>
      <c r="AT480" s="103"/>
      <c r="AU480" s="103"/>
      <c r="AV480" s="103"/>
      <c r="AW480" s="104" t="str">
        <f>HYPERLINK("http://www.openstreetmap.org/?mlat=34.2422&amp;mlon=44.1907&amp;zoom=12#map=12/34.2422/44.1907","Maplink1")</f>
        <v>Maplink1</v>
      </c>
      <c r="AX480" s="104" t="str">
        <f>HYPERLINK("https://www.google.iq/maps/search/+34.2422,44.1907/@34.2422,44.1907,14z?hl=en","Maplink2")</f>
        <v>Maplink2</v>
      </c>
      <c r="AY480" s="104" t="str">
        <f>HYPERLINK("http://www.bing.com/maps/?lvl=14&amp;sty=h&amp;cp=34.2422~44.1907&amp;sp=point.34.2422_44.1907","Maplink3")</f>
        <v>Maplink3</v>
      </c>
    </row>
    <row r="481" spans="1:51" x14ac:dyDescent="0.2">
      <c r="A481" s="102">
        <v>26058</v>
      </c>
      <c r="B481" s="103" t="s">
        <v>32</v>
      </c>
      <c r="C481" s="103" t="s">
        <v>90</v>
      </c>
      <c r="D481" s="103" t="s">
        <v>998</v>
      </c>
      <c r="E481" s="103" t="s">
        <v>999</v>
      </c>
      <c r="F481" s="103">
        <v>34.0676524024</v>
      </c>
      <c r="G481" s="103">
        <v>44.865502219500002</v>
      </c>
      <c r="H481" s="102">
        <v>271</v>
      </c>
      <c r="I481" s="102">
        <v>1626</v>
      </c>
      <c r="J481" s="103"/>
      <c r="K481" s="103"/>
      <c r="L481" s="103"/>
      <c r="M481" s="103">
        <v>271</v>
      </c>
      <c r="N481" s="103"/>
      <c r="O481" s="103"/>
      <c r="P481" s="103"/>
      <c r="Q481" s="103"/>
      <c r="R481" s="103"/>
      <c r="S481" s="103"/>
      <c r="T481" s="103"/>
      <c r="U481" s="103"/>
      <c r="V481" s="103"/>
      <c r="W481" s="103"/>
      <c r="X481" s="103"/>
      <c r="Y481" s="103"/>
      <c r="Z481" s="103">
        <v>244</v>
      </c>
      <c r="AA481" s="103"/>
      <c r="AB481" s="103"/>
      <c r="AC481" s="103">
        <v>17</v>
      </c>
      <c r="AD481" s="103"/>
      <c r="AE481" s="103"/>
      <c r="AF481" s="103"/>
      <c r="AG481" s="103"/>
      <c r="AH481" s="103"/>
      <c r="AI481" s="103"/>
      <c r="AJ481" s="103">
        <v>10</v>
      </c>
      <c r="AK481" s="103"/>
      <c r="AL481" s="103"/>
      <c r="AM481" s="103"/>
      <c r="AN481" s="103">
        <v>271</v>
      </c>
      <c r="AO481" s="103"/>
      <c r="AP481" s="103"/>
      <c r="AQ481" s="103"/>
      <c r="AR481" s="103"/>
      <c r="AS481" s="103"/>
      <c r="AT481" s="103"/>
      <c r="AU481" s="103"/>
      <c r="AV481" s="103"/>
      <c r="AW481" s="104" t="str">
        <f>HYPERLINK("http://www.openstreetmap.org/?mlat=34.0677&amp;mlon=44.8655&amp;zoom=12#map=12/34.0677/44.8655","Maplink1")</f>
        <v>Maplink1</v>
      </c>
      <c r="AX481" s="104" t="str">
        <f>HYPERLINK("https://www.google.iq/maps/search/+34.0677,44.8655/@34.0677,44.8655,14z?hl=en","Maplink2")</f>
        <v>Maplink2</v>
      </c>
      <c r="AY481" s="104" t="str">
        <f>HYPERLINK("http://www.bing.com/maps/?lvl=14&amp;sty=h&amp;cp=34.0677~44.8655&amp;sp=point.34.0677_44.8655","Maplink3")</f>
        <v>Maplink3</v>
      </c>
    </row>
    <row r="482" spans="1:51" x14ac:dyDescent="0.2">
      <c r="A482" s="102">
        <v>26076</v>
      </c>
      <c r="B482" s="103" t="s">
        <v>32</v>
      </c>
      <c r="C482" s="103" t="s">
        <v>90</v>
      </c>
      <c r="D482" s="103" t="s">
        <v>1000</v>
      </c>
      <c r="E482" s="103" t="s">
        <v>1001</v>
      </c>
      <c r="F482" s="103">
        <v>34.068726287700002</v>
      </c>
      <c r="G482" s="103">
        <v>44.895475348300003</v>
      </c>
      <c r="H482" s="102">
        <v>200</v>
      </c>
      <c r="I482" s="102">
        <v>1200</v>
      </c>
      <c r="J482" s="103"/>
      <c r="K482" s="103"/>
      <c r="L482" s="103"/>
      <c r="M482" s="103">
        <v>200</v>
      </c>
      <c r="N482" s="103"/>
      <c r="O482" s="103"/>
      <c r="P482" s="103"/>
      <c r="Q482" s="103"/>
      <c r="R482" s="103"/>
      <c r="S482" s="103"/>
      <c r="T482" s="103"/>
      <c r="U482" s="103"/>
      <c r="V482" s="103"/>
      <c r="W482" s="103"/>
      <c r="X482" s="103"/>
      <c r="Y482" s="103"/>
      <c r="Z482" s="103">
        <v>200</v>
      </c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3"/>
      <c r="AM482" s="103"/>
      <c r="AN482" s="103">
        <v>200</v>
      </c>
      <c r="AO482" s="103"/>
      <c r="AP482" s="103"/>
      <c r="AQ482" s="103"/>
      <c r="AR482" s="103"/>
      <c r="AS482" s="103"/>
      <c r="AT482" s="103"/>
      <c r="AU482" s="103"/>
      <c r="AV482" s="103"/>
      <c r="AW482" s="104" t="str">
        <f>HYPERLINK("http://www.openstreetmap.org/?mlat=34.0687&amp;mlon=44.8955&amp;zoom=12#map=12/34.0687/44.8955","Maplink1")</f>
        <v>Maplink1</v>
      </c>
      <c r="AX482" s="104" t="str">
        <f>HYPERLINK("https://www.google.iq/maps/search/+34.0687,44.8955/@34.0687,44.8955,14z?hl=en","Maplink2")</f>
        <v>Maplink2</v>
      </c>
      <c r="AY482" s="104" t="str">
        <f>HYPERLINK("http://www.bing.com/maps/?lvl=14&amp;sty=h&amp;cp=34.0687~44.8955&amp;sp=point.34.0687_44.8955","Maplink3")</f>
        <v>Maplink3</v>
      </c>
    </row>
    <row r="483" spans="1:51" x14ac:dyDescent="0.2">
      <c r="A483" s="102">
        <v>25656</v>
      </c>
      <c r="B483" s="103" t="s">
        <v>32</v>
      </c>
      <c r="C483" s="103" t="s">
        <v>90</v>
      </c>
      <c r="D483" s="103" t="s">
        <v>1002</v>
      </c>
      <c r="E483" s="103" t="s">
        <v>1003</v>
      </c>
      <c r="F483" s="103">
        <v>34.070030739400003</v>
      </c>
      <c r="G483" s="103">
        <v>44.859731101100003</v>
      </c>
      <c r="H483" s="102">
        <v>220</v>
      </c>
      <c r="I483" s="102">
        <v>1320</v>
      </c>
      <c r="J483" s="103"/>
      <c r="K483" s="103"/>
      <c r="L483" s="103"/>
      <c r="M483" s="103">
        <v>220</v>
      </c>
      <c r="N483" s="103"/>
      <c r="O483" s="103"/>
      <c r="P483" s="103"/>
      <c r="Q483" s="103"/>
      <c r="R483" s="103"/>
      <c r="S483" s="103"/>
      <c r="T483" s="103"/>
      <c r="U483" s="103"/>
      <c r="V483" s="103"/>
      <c r="W483" s="103"/>
      <c r="X483" s="103"/>
      <c r="Y483" s="103"/>
      <c r="Z483" s="103">
        <v>160</v>
      </c>
      <c r="AA483" s="103"/>
      <c r="AB483" s="103"/>
      <c r="AC483" s="103">
        <v>35</v>
      </c>
      <c r="AD483" s="103"/>
      <c r="AE483" s="103"/>
      <c r="AF483" s="103"/>
      <c r="AG483" s="103"/>
      <c r="AH483" s="103"/>
      <c r="AI483" s="103"/>
      <c r="AJ483" s="103">
        <v>25</v>
      </c>
      <c r="AK483" s="103"/>
      <c r="AL483" s="103"/>
      <c r="AM483" s="103"/>
      <c r="AN483" s="103">
        <v>220</v>
      </c>
      <c r="AO483" s="103"/>
      <c r="AP483" s="103"/>
      <c r="AQ483" s="103"/>
      <c r="AR483" s="103"/>
      <c r="AS483" s="103"/>
      <c r="AT483" s="103"/>
      <c r="AU483" s="103"/>
      <c r="AV483" s="103"/>
      <c r="AW483" s="104" t="str">
        <f>HYPERLINK("http://www.openstreetmap.org/?mlat=34.07&amp;mlon=44.8597&amp;zoom=12#map=12/34.07/44.8597","Maplink1")</f>
        <v>Maplink1</v>
      </c>
      <c r="AX483" s="104" t="str">
        <f>HYPERLINK("https://www.google.iq/maps/search/+34.07,44.8597/@34.07,44.8597,14z?hl=en","Maplink2")</f>
        <v>Maplink2</v>
      </c>
      <c r="AY483" s="104" t="str">
        <f>HYPERLINK("http://www.bing.com/maps/?lvl=14&amp;sty=h&amp;cp=34.07~44.8597&amp;sp=point.34.07_44.8597","Maplink3")</f>
        <v>Maplink3</v>
      </c>
    </row>
    <row r="484" spans="1:51" x14ac:dyDescent="0.2">
      <c r="A484" s="102">
        <v>25667</v>
      </c>
      <c r="B484" s="103" t="s">
        <v>32</v>
      </c>
      <c r="C484" s="103" t="s">
        <v>90</v>
      </c>
      <c r="D484" s="103" t="s">
        <v>1099</v>
      </c>
      <c r="E484" s="103" t="s">
        <v>1100</v>
      </c>
      <c r="F484" s="103">
        <v>34.0872047481</v>
      </c>
      <c r="G484" s="103">
        <v>44.928790256600003</v>
      </c>
      <c r="H484" s="102">
        <v>324</v>
      </c>
      <c r="I484" s="102">
        <v>1944</v>
      </c>
      <c r="J484" s="103"/>
      <c r="K484" s="103"/>
      <c r="L484" s="103"/>
      <c r="M484" s="103">
        <v>282</v>
      </c>
      <c r="N484" s="103">
        <v>42</v>
      </c>
      <c r="O484" s="103"/>
      <c r="P484" s="103"/>
      <c r="Q484" s="103"/>
      <c r="R484" s="103"/>
      <c r="S484" s="103"/>
      <c r="T484" s="103"/>
      <c r="U484" s="103"/>
      <c r="V484" s="103"/>
      <c r="W484" s="103"/>
      <c r="X484" s="103"/>
      <c r="Y484" s="103"/>
      <c r="Z484" s="103">
        <v>274</v>
      </c>
      <c r="AA484" s="103"/>
      <c r="AB484" s="103"/>
      <c r="AC484" s="103">
        <v>50</v>
      </c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103">
        <v>324</v>
      </c>
      <c r="AO484" s="103"/>
      <c r="AP484" s="103"/>
      <c r="AQ484" s="103"/>
      <c r="AR484" s="103"/>
      <c r="AS484" s="103"/>
      <c r="AT484" s="103"/>
      <c r="AU484" s="103"/>
      <c r="AV484" s="103"/>
      <c r="AW484" s="104" t="str">
        <f>HYPERLINK("http://www.openstreetmap.org/?mlat=34.0872&amp;mlon=44.9288&amp;zoom=12#map=12/34.0872/44.9288","Maplink1")</f>
        <v>Maplink1</v>
      </c>
      <c r="AX484" s="104" t="str">
        <f>HYPERLINK("https://www.google.iq/maps/search/+34.0872,44.9288/@34.0872,44.9288,14z?hl=en","Maplink2")</f>
        <v>Maplink2</v>
      </c>
      <c r="AY484" s="104" t="str">
        <f>HYPERLINK("http://www.bing.com/maps/?lvl=14&amp;sty=h&amp;cp=34.0872~44.9288&amp;sp=point.34.0872_44.9288","Maplink3")</f>
        <v>Maplink3</v>
      </c>
    </row>
    <row r="485" spans="1:51" x14ac:dyDescent="0.2">
      <c r="A485" s="102">
        <v>25683</v>
      </c>
      <c r="B485" s="103" t="s">
        <v>32</v>
      </c>
      <c r="C485" s="103" t="s">
        <v>90</v>
      </c>
      <c r="D485" s="103" t="s">
        <v>1101</v>
      </c>
      <c r="E485" s="103" t="s">
        <v>1102</v>
      </c>
      <c r="F485" s="103">
        <v>34.034905369999997</v>
      </c>
      <c r="G485" s="103">
        <v>44.874581106100003</v>
      </c>
      <c r="H485" s="102">
        <v>200</v>
      </c>
      <c r="I485" s="102">
        <v>1200</v>
      </c>
      <c r="J485" s="103"/>
      <c r="K485" s="103"/>
      <c r="L485" s="103"/>
      <c r="M485" s="103">
        <v>186</v>
      </c>
      <c r="N485" s="103">
        <v>14</v>
      </c>
      <c r="O485" s="103"/>
      <c r="P485" s="103"/>
      <c r="Q485" s="103"/>
      <c r="R485" s="103"/>
      <c r="S485" s="103"/>
      <c r="T485" s="103"/>
      <c r="U485" s="103"/>
      <c r="V485" s="103"/>
      <c r="W485" s="103"/>
      <c r="X485" s="103"/>
      <c r="Y485" s="103"/>
      <c r="Z485" s="103">
        <v>126</v>
      </c>
      <c r="AA485" s="103"/>
      <c r="AB485" s="103"/>
      <c r="AC485" s="103">
        <v>35</v>
      </c>
      <c r="AD485" s="103"/>
      <c r="AE485" s="103"/>
      <c r="AF485" s="103"/>
      <c r="AG485" s="103"/>
      <c r="AH485" s="103"/>
      <c r="AI485" s="103"/>
      <c r="AJ485" s="103">
        <v>39</v>
      </c>
      <c r="AK485" s="103"/>
      <c r="AL485" s="103"/>
      <c r="AM485" s="103"/>
      <c r="AN485" s="103"/>
      <c r="AO485" s="103"/>
      <c r="AP485" s="103">
        <v>200</v>
      </c>
      <c r="AQ485" s="103"/>
      <c r="AR485" s="103"/>
      <c r="AS485" s="103"/>
      <c r="AT485" s="103"/>
      <c r="AU485" s="103"/>
      <c r="AV485" s="103"/>
      <c r="AW485" s="104" t="str">
        <f>HYPERLINK("http://www.openstreetmap.org/?mlat=34.0349&amp;mlon=44.8746&amp;zoom=12#map=12/34.0349/44.8746","Maplink1")</f>
        <v>Maplink1</v>
      </c>
      <c r="AX485" s="104" t="str">
        <f>HYPERLINK("https://www.google.iq/maps/search/+34.0349,44.8746/@34.0349,44.8746,14z?hl=en","Maplink2")</f>
        <v>Maplink2</v>
      </c>
      <c r="AY485" s="104" t="str">
        <f>HYPERLINK("http://www.bing.com/maps/?lvl=14&amp;sty=h&amp;cp=34.0349~44.8746&amp;sp=point.34.0349_44.8746","Maplink3")</f>
        <v>Maplink3</v>
      </c>
    </row>
    <row r="486" spans="1:51" x14ac:dyDescent="0.2">
      <c r="A486" s="102">
        <v>33842</v>
      </c>
      <c r="B486" s="103" t="s">
        <v>32</v>
      </c>
      <c r="C486" s="103" t="s">
        <v>90</v>
      </c>
      <c r="D486" s="103" t="s">
        <v>1103</v>
      </c>
      <c r="E486" s="103" t="s">
        <v>1104</v>
      </c>
      <c r="F486" s="103">
        <v>34.075585146999998</v>
      </c>
      <c r="G486" s="103">
        <v>44.962112965000003</v>
      </c>
      <c r="H486" s="102">
        <v>427</v>
      </c>
      <c r="I486" s="102">
        <v>2562</v>
      </c>
      <c r="J486" s="103"/>
      <c r="K486" s="103"/>
      <c r="L486" s="103"/>
      <c r="M486" s="103">
        <v>317</v>
      </c>
      <c r="N486" s="103">
        <v>110</v>
      </c>
      <c r="O486" s="103"/>
      <c r="P486" s="103"/>
      <c r="Q486" s="103"/>
      <c r="R486" s="103"/>
      <c r="S486" s="103"/>
      <c r="T486" s="103"/>
      <c r="U486" s="103"/>
      <c r="V486" s="103"/>
      <c r="W486" s="103"/>
      <c r="X486" s="103"/>
      <c r="Y486" s="103"/>
      <c r="Z486" s="103">
        <v>387</v>
      </c>
      <c r="AA486" s="103"/>
      <c r="AB486" s="103"/>
      <c r="AC486" s="103">
        <v>40</v>
      </c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103"/>
      <c r="AO486" s="103"/>
      <c r="AP486" s="103">
        <v>427</v>
      </c>
      <c r="AQ486" s="103"/>
      <c r="AR486" s="103"/>
      <c r="AS486" s="103"/>
      <c r="AT486" s="103"/>
      <c r="AU486" s="103"/>
      <c r="AV486" s="103"/>
      <c r="AW486" s="104" t="str">
        <f>HYPERLINK("http://www.openstreetmap.org/?mlat=34.0756&amp;mlon=44.9621&amp;zoom=12#map=12/34.0756/44.9621","Maplink1")</f>
        <v>Maplink1</v>
      </c>
      <c r="AX486" s="104" t="str">
        <f>HYPERLINK("https://www.google.iq/maps/search/+34.0756,44.9621/@34.0756,44.9621,14z?hl=en","Maplink2")</f>
        <v>Maplink2</v>
      </c>
      <c r="AY486" s="104" t="str">
        <f>HYPERLINK("http://www.bing.com/maps/?lvl=14&amp;sty=h&amp;cp=34.0756~44.9621&amp;sp=point.34.0756_44.9621","Maplink3")</f>
        <v>Maplink3</v>
      </c>
    </row>
    <row r="487" spans="1:51" x14ac:dyDescent="0.2">
      <c r="A487" s="102">
        <v>26057</v>
      </c>
      <c r="B487" s="103" t="s">
        <v>32</v>
      </c>
      <c r="C487" s="103" t="s">
        <v>90</v>
      </c>
      <c r="D487" s="103" t="s">
        <v>1004</v>
      </c>
      <c r="E487" s="103" t="s">
        <v>1005</v>
      </c>
      <c r="F487" s="103">
        <v>34.079245159999999</v>
      </c>
      <c r="G487" s="103">
        <v>44.863423819099999</v>
      </c>
      <c r="H487" s="102">
        <v>37</v>
      </c>
      <c r="I487" s="102">
        <v>222</v>
      </c>
      <c r="J487" s="103"/>
      <c r="K487" s="103"/>
      <c r="L487" s="103"/>
      <c r="M487" s="103">
        <v>37</v>
      </c>
      <c r="N487" s="103"/>
      <c r="O487" s="103"/>
      <c r="P487" s="103"/>
      <c r="Q487" s="103"/>
      <c r="R487" s="103"/>
      <c r="S487" s="103"/>
      <c r="T487" s="103"/>
      <c r="U487" s="103"/>
      <c r="V487" s="103"/>
      <c r="W487" s="103"/>
      <c r="X487" s="103"/>
      <c r="Y487" s="103"/>
      <c r="Z487" s="103">
        <v>37</v>
      </c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3"/>
      <c r="AM487" s="103"/>
      <c r="AN487" s="103">
        <v>37</v>
      </c>
      <c r="AO487" s="103"/>
      <c r="AP487" s="103"/>
      <c r="AQ487" s="103"/>
      <c r="AR487" s="103"/>
      <c r="AS487" s="103"/>
      <c r="AT487" s="103"/>
      <c r="AU487" s="103"/>
      <c r="AV487" s="103"/>
      <c r="AW487" s="104" t="str">
        <f>HYPERLINK("http://www.openstreetmap.org/?mlat=34.0792&amp;mlon=44.8634&amp;zoom=12#map=12/34.0792/44.8634","Maplink1")</f>
        <v>Maplink1</v>
      </c>
      <c r="AX487" s="104" t="str">
        <f>HYPERLINK("https://www.google.iq/maps/search/+34.0792,44.8634/@34.0792,44.8634,14z?hl=en","Maplink2")</f>
        <v>Maplink2</v>
      </c>
      <c r="AY487" s="104" t="str">
        <f>HYPERLINK("http://www.bing.com/maps/?lvl=14&amp;sty=h&amp;cp=34.0792~44.8634&amp;sp=point.34.0792_44.8634","Maplink3")</f>
        <v>Maplink3</v>
      </c>
    </row>
    <row r="488" spans="1:51" x14ac:dyDescent="0.2">
      <c r="A488" s="102">
        <v>28467</v>
      </c>
      <c r="B488" s="103" t="s">
        <v>32</v>
      </c>
      <c r="C488" s="103" t="s">
        <v>90</v>
      </c>
      <c r="D488" s="103" t="s">
        <v>1006</v>
      </c>
      <c r="E488" s="103" t="s">
        <v>1007</v>
      </c>
      <c r="F488" s="103">
        <v>34.3587597135</v>
      </c>
      <c r="G488" s="103">
        <v>44.553745010699998</v>
      </c>
      <c r="H488" s="102">
        <v>98</v>
      </c>
      <c r="I488" s="102">
        <v>588</v>
      </c>
      <c r="J488" s="103"/>
      <c r="K488" s="103"/>
      <c r="L488" s="103"/>
      <c r="M488" s="103">
        <v>98</v>
      </c>
      <c r="N488" s="103"/>
      <c r="O488" s="103"/>
      <c r="P488" s="103"/>
      <c r="Q488" s="103"/>
      <c r="R488" s="103"/>
      <c r="S488" s="103"/>
      <c r="T488" s="103"/>
      <c r="U488" s="103"/>
      <c r="V488" s="103"/>
      <c r="W488" s="103"/>
      <c r="X488" s="103"/>
      <c r="Y488" s="103"/>
      <c r="Z488" s="103">
        <v>89</v>
      </c>
      <c r="AA488" s="103"/>
      <c r="AB488" s="103"/>
      <c r="AC488" s="103">
        <v>9</v>
      </c>
      <c r="AD488" s="103"/>
      <c r="AE488" s="103"/>
      <c r="AF488" s="103"/>
      <c r="AG488" s="103"/>
      <c r="AH488" s="103"/>
      <c r="AI488" s="103"/>
      <c r="AJ488" s="103"/>
      <c r="AK488" s="103"/>
      <c r="AL488" s="103"/>
      <c r="AM488" s="103"/>
      <c r="AN488" s="103">
        <v>98</v>
      </c>
      <c r="AO488" s="103"/>
      <c r="AP488" s="103"/>
      <c r="AQ488" s="103"/>
      <c r="AR488" s="103"/>
      <c r="AS488" s="103"/>
      <c r="AT488" s="103"/>
      <c r="AU488" s="103"/>
      <c r="AV488" s="103"/>
      <c r="AW488" s="104" t="str">
        <f>HYPERLINK("http://www.openstreetmap.org/?mlat=34.3588&amp;mlon=44.5537&amp;zoom=12#map=12/34.3588/44.5537","Maplink1")</f>
        <v>Maplink1</v>
      </c>
      <c r="AX488" s="104" t="str">
        <f>HYPERLINK("https://www.google.iq/maps/search/+34.3588,44.5537/@34.3588,44.5537,14z?hl=en","Maplink2")</f>
        <v>Maplink2</v>
      </c>
      <c r="AY488" s="104" t="str">
        <f>HYPERLINK("http://www.bing.com/maps/?lvl=14&amp;sty=h&amp;cp=34.3588~44.5537&amp;sp=point.34.3588_44.5537","Maplink3")</f>
        <v>Maplink3</v>
      </c>
    </row>
    <row r="489" spans="1:51" x14ac:dyDescent="0.2">
      <c r="A489" s="102">
        <v>27171</v>
      </c>
      <c r="B489" s="103" t="s">
        <v>32</v>
      </c>
      <c r="C489" s="103" t="s">
        <v>90</v>
      </c>
      <c r="D489" s="103" t="s">
        <v>1077</v>
      </c>
      <c r="E489" s="103" t="s">
        <v>1078</v>
      </c>
      <c r="F489" s="103">
        <v>34.101789953500003</v>
      </c>
      <c r="G489" s="103">
        <v>44.462278947400002</v>
      </c>
      <c r="H489" s="102">
        <v>8</v>
      </c>
      <c r="I489" s="102">
        <v>48</v>
      </c>
      <c r="J489" s="103"/>
      <c r="K489" s="103"/>
      <c r="L489" s="103"/>
      <c r="M489" s="103">
        <v>5</v>
      </c>
      <c r="N489" s="103">
        <v>3</v>
      </c>
      <c r="O489" s="103"/>
      <c r="P489" s="103"/>
      <c r="Q489" s="103"/>
      <c r="R489" s="103"/>
      <c r="S489" s="103"/>
      <c r="T489" s="103"/>
      <c r="U489" s="103"/>
      <c r="V489" s="103"/>
      <c r="W489" s="103"/>
      <c r="X489" s="103"/>
      <c r="Y489" s="103"/>
      <c r="Z489" s="103">
        <v>3</v>
      </c>
      <c r="AA489" s="103"/>
      <c r="AB489" s="103"/>
      <c r="AC489" s="103">
        <v>5</v>
      </c>
      <c r="AD489" s="103"/>
      <c r="AE489" s="103"/>
      <c r="AF489" s="103"/>
      <c r="AG489" s="103"/>
      <c r="AH489" s="103"/>
      <c r="AI489" s="103"/>
      <c r="AJ489" s="103"/>
      <c r="AK489" s="103"/>
      <c r="AL489" s="103"/>
      <c r="AM489" s="103"/>
      <c r="AN489" s="103">
        <v>8</v>
      </c>
      <c r="AO489" s="103"/>
      <c r="AP489" s="103"/>
      <c r="AQ489" s="103"/>
      <c r="AR489" s="103"/>
      <c r="AS489" s="103"/>
      <c r="AT489" s="103"/>
      <c r="AU489" s="103"/>
      <c r="AV489" s="103"/>
      <c r="AW489" s="104" t="str">
        <f>HYPERLINK("http://www.openstreetmap.org/?mlat=34.1018&amp;mlon=44.4623&amp;zoom=12#map=12/34.1018/44.4623","Maplink1")</f>
        <v>Maplink1</v>
      </c>
      <c r="AX489" s="104" t="str">
        <f>HYPERLINK("https://www.google.iq/maps/search/+34.1018,44.4623/@34.1018,44.4623,14z?hl=en","Maplink2")</f>
        <v>Maplink2</v>
      </c>
      <c r="AY489" s="104" t="str">
        <f>HYPERLINK("http://www.bing.com/maps/?lvl=14&amp;sty=h&amp;cp=34.1018~44.4623&amp;sp=point.34.1018_44.4623","Maplink3")</f>
        <v>Maplink3</v>
      </c>
    </row>
    <row r="490" spans="1:51" x14ac:dyDescent="0.2">
      <c r="A490" s="102">
        <v>29562</v>
      </c>
      <c r="B490" s="103" t="s">
        <v>32</v>
      </c>
      <c r="C490" s="103" t="s">
        <v>90</v>
      </c>
      <c r="D490" s="103" t="s">
        <v>1079</v>
      </c>
      <c r="E490" s="103" t="s">
        <v>1080</v>
      </c>
      <c r="F490" s="103">
        <v>34.280893118900003</v>
      </c>
      <c r="G490" s="103">
        <v>44.532132160000003</v>
      </c>
      <c r="H490" s="102">
        <v>15</v>
      </c>
      <c r="I490" s="102">
        <v>90</v>
      </c>
      <c r="J490" s="103"/>
      <c r="K490" s="103"/>
      <c r="L490" s="103"/>
      <c r="M490" s="103">
        <v>15</v>
      </c>
      <c r="N490" s="103"/>
      <c r="O490" s="103"/>
      <c r="P490" s="103"/>
      <c r="Q490" s="103"/>
      <c r="R490" s="103"/>
      <c r="S490" s="103"/>
      <c r="T490" s="103"/>
      <c r="U490" s="103"/>
      <c r="V490" s="103"/>
      <c r="W490" s="103"/>
      <c r="X490" s="103"/>
      <c r="Y490" s="103"/>
      <c r="Z490" s="103">
        <v>15</v>
      </c>
      <c r="AA490" s="103"/>
      <c r="AB490" s="103"/>
      <c r="AC490" s="103"/>
      <c r="AD490" s="103"/>
      <c r="AE490" s="103"/>
      <c r="AF490" s="103"/>
      <c r="AG490" s="103"/>
      <c r="AH490" s="103"/>
      <c r="AI490" s="103"/>
      <c r="AJ490" s="103"/>
      <c r="AK490" s="103"/>
      <c r="AL490" s="103"/>
      <c r="AM490" s="103"/>
      <c r="AN490" s="103">
        <v>15</v>
      </c>
      <c r="AO490" s="103"/>
      <c r="AP490" s="103"/>
      <c r="AQ490" s="103"/>
      <c r="AR490" s="103"/>
      <c r="AS490" s="103"/>
      <c r="AT490" s="103"/>
      <c r="AU490" s="103"/>
      <c r="AV490" s="103"/>
      <c r="AW490" s="104" t="str">
        <f>HYPERLINK("http://www.openstreetmap.org/?mlat=34.2809&amp;mlon=44.5321&amp;zoom=12#map=12/34.2809/44.5321","Maplink1")</f>
        <v>Maplink1</v>
      </c>
      <c r="AX490" s="104" t="str">
        <f>HYPERLINK("https://www.google.iq/maps/search/+34.2809,44.5321/@34.2809,44.5321,14z?hl=en","Maplink2")</f>
        <v>Maplink2</v>
      </c>
      <c r="AY490" s="104" t="str">
        <f>HYPERLINK("http://www.bing.com/maps/?lvl=14&amp;sty=h&amp;cp=34.2809~44.5321&amp;sp=point.34.2809_44.5321","Maplink3")</f>
        <v>Maplink3</v>
      </c>
    </row>
    <row r="491" spans="1:51" x14ac:dyDescent="0.2">
      <c r="A491" s="102">
        <v>25658</v>
      </c>
      <c r="B491" s="103" t="s">
        <v>32</v>
      </c>
      <c r="C491" s="103" t="s">
        <v>90</v>
      </c>
      <c r="D491" s="103" t="s">
        <v>1038</v>
      </c>
      <c r="E491" s="103" t="s">
        <v>1039</v>
      </c>
      <c r="F491" s="103">
        <v>34.065625977499998</v>
      </c>
      <c r="G491" s="103">
        <v>44.870515120100002</v>
      </c>
      <c r="H491" s="102">
        <v>180</v>
      </c>
      <c r="I491" s="102">
        <v>1080</v>
      </c>
      <c r="J491" s="103"/>
      <c r="K491" s="103"/>
      <c r="L491" s="103"/>
      <c r="M491" s="103">
        <v>180</v>
      </c>
      <c r="N491" s="103"/>
      <c r="O491" s="103"/>
      <c r="P491" s="103"/>
      <c r="Q491" s="103"/>
      <c r="R491" s="103"/>
      <c r="S491" s="103"/>
      <c r="T491" s="103"/>
      <c r="U491" s="103"/>
      <c r="V491" s="103"/>
      <c r="W491" s="103"/>
      <c r="X491" s="103"/>
      <c r="Y491" s="103"/>
      <c r="Z491" s="103">
        <v>125</v>
      </c>
      <c r="AA491" s="103"/>
      <c r="AB491" s="103"/>
      <c r="AC491" s="103">
        <v>25</v>
      </c>
      <c r="AD491" s="103"/>
      <c r="AE491" s="103"/>
      <c r="AF491" s="103"/>
      <c r="AG491" s="103"/>
      <c r="AH491" s="103"/>
      <c r="AI491" s="103"/>
      <c r="AJ491" s="103">
        <v>30</v>
      </c>
      <c r="AK491" s="103"/>
      <c r="AL491" s="103"/>
      <c r="AM491" s="103"/>
      <c r="AN491" s="103"/>
      <c r="AO491" s="103"/>
      <c r="AP491" s="103">
        <v>180</v>
      </c>
      <c r="AQ491" s="103"/>
      <c r="AR491" s="103"/>
      <c r="AS491" s="103"/>
      <c r="AT491" s="103"/>
      <c r="AU491" s="103"/>
      <c r="AV491" s="103"/>
      <c r="AW491" s="104" t="str">
        <f>HYPERLINK("http://www.openstreetmap.org/?mlat=34.0656&amp;mlon=44.8705&amp;zoom=12#map=12/34.0656/44.8705","Maplink1")</f>
        <v>Maplink1</v>
      </c>
      <c r="AX491" s="104" t="str">
        <f>HYPERLINK("https://www.google.iq/maps/search/+34.0656,44.8705/@34.0656,44.8705,14z?hl=en","Maplink2")</f>
        <v>Maplink2</v>
      </c>
      <c r="AY491" s="104" t="str">
        <f>HYPERLINK("http://www.bing.com/maps/?lvl=14&amp;sty=h&amp;cp=34.0656~44.8705&amp;sp=point.34.0656_44.8705","Maplink3")</f>
        <v>Maplink3</v>
      </c>
    </row>
    <row r="492" spans="1:51" x14ac:dyDescent="0.2">
      <c r="A492" s="102">
        <v>27162</v>
      </c>
      <c r="B492" s="103" t="s">
        <v>32</v>
      </c>
      <c r="C492" s="103" t="s">
        <v>90</v>
      </c>
      <c r="D492" s="103" t="s">
        <v>1040</v>
      </c>
      <c r="E492" s="103" t="s">
        <v>1041</v>
      </c>
      <c r="F492" s="103">
        <v>34.324599319999997</v>
      </c>
      <c r="G492" s="103">
        <v>44.743432657600003</v>
      </c>
      <c r="H492" s="102">
        <v>140</v>
      </c>
      <c r="I492" s="102">
        <v>840</v>
      </c>
      <c r="J492" s="103"/>
      <c r="K492" s="103"/>
      <c r="L492" s="103"/>
      <c r="M492" s="103">
        <v>100</v>
      </c>
      <c r="N492" s="103">
        <v>40</v>
      </c>
      <c r="O492" s="103"/>
      <c r="P492" s="103"/>
      <c r="Q492" s="103"/>
      <c r="R492" s="103"/>
      <c r="S492" s="103"/>
      <c r="T492" s="103"/>
      <c r="U492" s="103"/>
      <c r="V492" s="103"/>
      <c r="W492" s="103"/>
      <c r="X492" s="103"/>
      <c r="Y492" s="103"/>
      <c r="Z492" s="103">
        <v>20</v>
      </c>
      <c r="AA492" s="103"/>
      <c r="AB492" s="103"/>
      <c r="AC492" s="103">
        <v>120</v>
      </c>
      <c r="AD492" s="103"/>
      <c r="AE492" s="103"/>
      <c r="AF492" s="103"/>
      <c r="AG492" s="103"/>
      <c r="AH492" s="103"/>
      <c r="AI492" s="103"/>
      <c r="AJ492" s="103"/>
      <c r="AK492" s="103"/>
      <c r="AL492" s="103"/>
      <c r="AM492" s="103"/>
      <c r="AN492" s="103">
        <v>140</v>
      </c>
      <c r="AO492" s="103"/>
      <c r="AP492" s="103"/>
      <c r="AQ492" s="103"/>
      <c r="AR492" s="103"/>
      <c r="AS492" s="103"/>
      <c r="AT492" s="103"/>
      <c r="AU492" s="103"/>
      <c r="AV492" s="103"/>
      <c r="AW492" s="104" t="str">
        <f>HYPERLINK("http://www.openstreetmap.org/?mlat=34.3246&amp;mlon=44.7434&amp;zoom=12#map=12/34.3246/44.7434","Maplink1")</f>
        <v>Maplink1</v>
      </c>
      <c r="AX492" s="104" t="str">
        <f>HYPERLINK("https://www.google.iq/maps/search/+34.3246,44.7434/@34.3246,44.7434,14z?hl=en","Maplink2")</f>
        <v>Maplink2</v>
      </c>
      <c r="AY492" s="104" t="str">
        <f>HYPERLINK("http://www.bing.com/maps/?lvl=14&amp;sty=h&amp;cp=34.3246~44.7434&amp;sp=point.34.3246_44.7434","Maplink3")</f>
        <v>Maplink3</v>
      </c>
    </row>
    <row r="493" spans="1:51" x14ac:dyDescent="0.2">
      <c r="A493" s="102">
        <v>33546</v>
      </c>
      <c r="B493" s="103" t="s">
        <v>32</v>
      </c>
      <c r="C493" s="103" t="s">
        <v>90</v>
      </c>
      <c r="D493" s="103" t="s">
        <v>1042</v>
      </c>
      <c r="E493" s="103" t="s">
        <v>1043</v>
      </c>
      <c r="F493" s="103">
        <v>34.080922270000002</v>
      </c>
      <c r="G493" s="103">
        <v>44.953184280000002</v>
      </c>
      <c r="H493" s="102">
        <v>110</v>
      </c>
      <c r="I493" s="102">
        <v>660</v>
      </c>
      <c r="J493" s="103"/>
      <c r="K493" s="103"/>
      <c r="L493" s="103"/>
      <c r="M493" s="103">
        <v>80</v>
      </c>
      <c r="N493" s="103">
        <v>30</v>
      </c>
      <c r="O493" s="103"/>
      <c r="P493" s="103"/>
      <c r="Q493" s="103"/>
      <c r="R493" s="103"/>
      <c r="S493" s="103"/>
      <c r="T493" s="103"/>
      <c r="U493" s="103"/>
      <c r="V493" s="103"/>
      <c r="W493" s="103"/>
      <c r="X493" s="103"/>
      <c r="Y493" s="103"/>
      <c r="Z493" s="103">
        <v>90</v>
      </c>
      <c r="AA493" s="103"/>
      <c r="AB493" s="103"/>
      <c r="AC493" s="103">
        <v>20</v>
      </c>
      <c r="AD493" s="103"/>
      <c r="AE493" s="103"/>
      <c r="AF493" s="103"/>
      <c r="AG493" s="103"/>
      <c r="AH493" s="103"/>
      <c r="AI493" s="103"/>
      <c r="AJ493" s="103"/>
      <c r="AK493" s="103"/>
      <c r="AL493" s="103"/>
      <c r="AM493" s="103"/>
      <c r="AN493" s="103"/>
      <c r="AO493" s="103"/>
      <c r="AP493" s="103">
        <v>110</v>
      </c>
      <c r="AQ493" s="103"/>
      <c r="AR493" s="103"/>
      <c r="AS493" s="103"/>
      <c r="AT493" s="103"/>
      <c r="AU493" s="103"/>
      <c r="AV493" s="103"/>
      <c r="AW493" s="104" t="str">
        <f>HYPERLINK("http://www.openstreetmap.org/?mlat=34.0809&amp;mlon=44.9532&amp;zoom=12#map=12/34.0809/44.9532","Maplink1")</f>
        <v>Maplink1</v>
      </c>
      <c r="AX493" s="104" t="str">
        <f>HYPERLINK("https://www.google.iq/maps/search/+34.0809,44.9532/@34.0809,44.9532,14z?hl=en","Maplink2")</f>
        <v>Maplink2</v>
      </c>
      <c r="AY493" s="104" t="str">
        <f>HYPERLINK("http://www.bing.com/maps/?lvl=14&amp;sty=h&amp;cp=34.0809~44.9532&amp;sp=point.34.0809_44.9532","Maplink3")</f>
        <v>Maplink3</v>
      </c>
    </row>
    <row r="494" spans="1:51" x14ac:dyDescent="0.2">
      <c r="A494" s="102">
        <v>26075</v>
      </c>
      <c r="B494" s="103" t="s">
        <v>32</v>
      </c>
      <c r="C494" s="103" t="s">
        <v>90</v>
      </c>
      <c r="D494" s="103" t="s">
        <v>1091</v>
      </c>
      <c r="E494" s="103" t="s">
        <v>1092</v>
      </c>
      <c r="F494" s="103">
        <v>34.073537000000002</v>
      </c>
      <c r="G494" s="103">
        <v>44.9056641998</v>
      </c>
      <c r="H494" s="102">
        <v>200</v>
      </c>
      <c r="I494" s="102">
        <v>1200</v>
      </c>
      <c r="J494" s="103"/>
      <c r="K494" s="103"/>
      <c r="L494" s="103"/>
      <c r="M494" s="103">
        <v>200</v>
      </c>
      <c r="N494" s="103"/>
      <c r="O494" s="103"/>
      <c r="P494" s="103"/>
      <c r="Q494" s="103"/>
      <c r="R494" s="103"/>
      <c r="S494" s="103"/>
      <c r="T494" s="103"/>
      <c r="U494" s="103"/>
      <c r="V494" s="103"/>
      <c r="W494" s="103"/>
      <c r="X494" s="103"/>
      <c r="Y494" s="103"/>
      <c r="Z494" s="103">
        <v>200</v>
      </c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103">
        <v>200</v>
      </c>
      <c r="AO494" s="103"/>
      <c r="AP494" s="103"/>
      <c r="AQ494" s="103"/>
      <c r="AR494" s="103"/>
      <c r="AS494" s="103"/>
      <c r="AT494" s="103"/>
      <c r="AU494" s="103"/>
      <c r="AV494" s="103"/>
      <c r="AW494" s="104" t="str">
        <f>HYPERLINK("http://www.openstreetmap.org/?mlat=34.0735&amp;mlon=44.9057&amp;zoom=12#map=12/34.0735/44.9057","Maplink1")</f>
        <v>Maplink1</v>
      </c>
      <c r="AX494" s="104" t="str">
        <f>HYPERLINK("https://www.google.iq/maps/search/+34.0735,44.9057/@34.0735,44.9057,14z?hl=en","Maplink2")</f>
        <v>Maplink2</v>
      </c>
      <c r="AY494" s="104" t="str">
        <f>HYPERLINK("http://www.bing.com/maps/?lvl=14&amp;sty=h&amp;cp=34.0735~44.9057&amp;sp=point.34.0735_44.9057","Maplink3")</f>
        <v>Maplink3</v>
      </c>
    </row>
    <row r="495" spans="1:51" x14ac:dyDescent="0.2">
      <c r="A495" s="102">
        <v>25682</v>
      </c>
      <c r="B495" s="103" t="s">
        <v>32</v>
      </c>
      <c r="C495" s="103" t="s">
        <v>90</v>
      </c>
      <c r="D495" s="103" t="s">
        <v>1093</v>
      </c>
      <c r="E495" s="103" t="s">
        <v>1094</v>
      </c>
      <c r="F495" s="103">
        <v>34.045498089799999</v>
      </c>
      <c r="G495" s="103">
        <v>44.881591978199999</v>
      </c>
      <c r="H495" s="102">
        <v>250</v>
      </c>
      <c r="I495" s="102">
        <v>1500</v>
      </c>
      <c r="J495" s="103"/>
      <c r="K495" s="103"/>
      <c r="L495" s="103"/>
      <c r="M495" s="103">
        <v>240</v>
      </c>
      <c r="N495" s="103">
        <v>10</v>
      </c>
      <c r="O495" s="103"/>
      <c r="P495" s="103"/>
      <c r="Q495" s="103"/>
      <c r="R495" s="103"/>
      <c r="S495" s="103"/>
      <c r="T495" s="103"/>
      <c r="U495" s="103"/>
      <c r="V495" s="103"/>
      <c r="W495" s="103"/>
      <c r="X495" s="103"/>
      <c r="Y495" s="103"/>
      <c r="Z495" s="103">
        <v>145</v>
      </c>
      <c r="AA495" s="103"/>
      <c r="AB495" s="103"/>
      <c r="AC495" s="103">
        <v>60</v>
      </c>
      <c r="AD495" s="103"/>
      <c r="AE495" s="103"/>
      <c r="AF495" s="103"/>
      <c r="AG495" s="103"/>
      <c r="AH495" s="103"/>
      <c r="AI495" s="103"/>
      <c r="AJ495" s="103">
        <v>45</v>
      </c>
      <c r="AK495" s="103"/>
      <c r="AL495" s="103"/>
      <c r="AM495" s="103"/>
      <c r="AN495" s="103"/>
      <c r="AO495" s="103"/>
      <c r="AP495" s="103">
        <v>250</v>
      </c>
      <c r="AQ495" s="103"/>
      <c r="AR495" s="103"/>
      <c r="AS495" s="103"/>
      <c r="AT495" s="103"/>
      <c r="AU495" s="103"/>
      <c r="AV495" s="103"/>
      <c r="AW495" s="104" t="str">
        <f>HYPERLINK("http://www.openstreetmap.org/?mlat=34.0455&amp;mlon=44.8816&amp;zoom=12#map=12/34.0455/44.8816","Maplink1")</f>
        <v>Maplink1</v>
      </c>
      <c r="AX495" s="104" t="str">
        <f>HYPERLINK("https://www.google.iq/maps/search/+34.0455,44.8816/@34.0455,44.8816,14z?hl=en","Maplink2")</f>
        <v>Maplink2</v>
      </c>
      <c r="AY495" s="104" t="str">
        <f>HYPERLINK("http://www.bing.com/maps/?lvl=14&amp;sty=h&amp;cp=34.0455~44.8816&amp;sp=point.34.0455_44.8816","Maplink3")</f>
        <v>Maplink3</v>
      </c>
    </row>
    <row r="496" spans="1:51" x14ac:dyDescent="0.2">
      <c r="A496" s="102">
        <v>28463</v>
      </c>
      <c r="B496" s="103" t="s">
        <v>32</v>
      </c>
      <c r="C496" s="103" t="s">
        <v>90</v>
      </c>
      <c r="D496" s="103" t="s">
        <v>1095</v>
      </c>
      <c r="E496" s="103" t="s">
        <v>1096</v>
      </c>
      <c r="F496" s="103">
        <v>34.256853977299997</v>
      </c>
      <c r="G496" s="103">
        <v>44.526036427000001</v>
      </c>
      <c r="H496" s="102">
        <v>90</v>
      </c>
      <c r="I496" s="102">
        <v>540</v>
      </c>
      <c r="J496" s="103"/>
      <c r="K496" s="103"/>
      <c r="L496" s="103"/>
      <c r="M496" s="103">
        <v>80</v>
      </c>
      <c r="N496" s="103">
        <v>10</v>
      </c>
      <c r="O496" s="103"/>
      <c r="P496" s="103"/>
      <c r="Q496" s="103"/>
      <c r="R496" s="103"/>
      <c r="S496" s="103"/>
      <c r="T496" s="103"/>
      <c r="U496" s="103"/>
      <c r="V496" s="103"/>
      <c r="W496" s="103"/>
      <c r="X496" s="103"/>
      <c r="Y496" s="103"/>
      <c r="Z496" s="103">
        <v>75</v>
      </c>
      <c r="AA496" s="103"/>
      <c r="AB496" s="103"/>
      <c r="AC496" s="103">
        <v>15</v>
      </c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103">
        <v>90</v>
      </c>
      <c r="AO496" s="103"/>
      <c r="AP496" s="103"/>
      <c r="AQ496" s="103"/>
      <c r="AR496" s="103"/>
      <c r="AS496" s="103"/>
      <c r="AT496" s="103"/>
      <c r="AU496" s="103"/>
      <c r="AV496" s="103"/>
      <c r="AW496" s="104" t="str">
        <f>HYPERLINK("http://www.openstreetmap.org/?mlat=34.2569&amp;mlon=44.526&amp;zoom=12#map=12/34.2569/44.526","Maplink1")</f>
        <v>Maplink1</v>
      </c>
      <c r="AX496" s="104" t="str">
        <f>HYPERLINK("https://www.google.iq/maps/search/+34.2569,44.526/@34.2569,44.526,14z?hl=en","Maplink2")</f>
        <v>Maplink2</v>
      </c>
      <c r="AY496" s="104" t="str">
        <f>HYPERLINK("http://www.bing.com/maps/?lvl=14&amp;sty=h&amp;cp=34.2569~44.526&amp;sp=point.34.2569_44.526","Maplink3")</f>
        <v>Maplink3</v>
      </c>
    </row>
    <row r="497" spans="1:51" x14ac:dyDescent="0.2">
      <c r="A497" s="102">
        <v>28465</v>
      </c>
      <c r="B497" s="103" t="s">
        <v>32</v>
      </c>
      <c r="C497" s="103" t="s">
        <v>90</v>
      </c>
      <c r="D497" s="103" t="s">
        <v>1075</v>
      </c>
      <c r="E497" s="103" t="s">
        <v>1076</v>
      </c>
      <c r="F497" s="103">
        <v>34.309219121300004</v>
      </c>
      <c r="G497" s="103">
        <v>44.562434766099997</v>
      </c>
      <c r="H497" s="102">
        <v>22</v>
      </c>
      <c r="I497" s="102">
        <v>132</v>
      </c>
      <c r="J497" s="103"/>
      <c r="K497" s="103"/>
      <c r="L497" s="103"/>
      <c r="M497" s="103">
        <v>22</v>
      </c>
      <c r="N497" s="103"/>
      <c r="O497" s="103"/>
      <c r="P497" s="103"/>
      <c r="Q497" s="103"/>
      <c r="R497" s="103"/>
      <c r="S497" s="103"/>
      <c r="T497" s="103"/>
      <c r="U497" s="103"/>
      <c r="V497" s="103"/>
      <c r="W497" s="103"/>
      <c r="X497" s="103"/>
      <c r="Y497" s="103"/>
      <c r="Z497" s="103">
        <v>22</v>
      </c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103">
        <v>22</v>
      </c>
      <c r="AO497" s="103"/>
      <c r="AP497" s="103"/>
      <c r="AQ497" s="103"/>
      <c r="AR497" s="103"/>
      <c r="AS497" s="103"/>
      <c r="AT497" s="103"/>
      <c r="AU497" s="103"/>
      <c r="AV497" s="103"/>
      <c r="AW497" s="104" t="str">
        <f>HYPERLINK("http://www.openstreetmap.org/?mlat=34.3092&amp;mlon=44.5624&amp;zoom=12#map=12/34.3092/44.5624","Maplink1")</f>
        <v>Maplink1</v>
      </c>
      <c r="AX497" s="104" t="str">
        <f>HYPERLINK("https://www.google.iq/maps/search/+34.3092,44.5624/@34.3092,44.5624,14z?hl=en","Maplink2")</f>
        <v>Maplink2</v>
      </c>
      <c r="AY497" s="104" t="str">
        <f>HYPERLINK("http://www.bing.com/maps/?lvl=14&amp;sty=h&amp;cp=34.3092~44.5624&amp;sp=point.34.3092_44.5624","Maplink3")</f>
        <v>Maplink3</v>
      </c>
    </row>
    <row r="498" spans="1:51" x14ac:dyDescent="0.2">
      <c r="A498" s="102">
        <v>25655</v>
      </c>
      <c r="B498" s="103" t="s">
        <v>32</v>
      </c>
      <c r="C498" s="103" t="s">
        <v>90</v>
      </c>
      <c r="D498" s="103" t="s">
        <v>1044</v>
      </c>
      <c r="E498" s="103" t="s">
        <v>1045</v>
      </c>
      <c r="F498" s="103">
        <v>34.0707238938</v>
      </c>
      <c r="G498" s="103">
        <v>44.870478700900001</v>
      </c>
      <c r="H498" s="102">
        <v>305</v>
      </c>
      <c r="I498" s="102">
        <v>1830</v>
      </c>
      <c r="J498" s="103"/>
      <c r="K498" s="103"/>
      <c r="L498" s="103"/>
      <c r="M498" s="103">
        <v>305</v>
      </c>
      <c r="N498" s="103"/>
      <c r="O498" s="103"/>
      <c r="P498" s="103"/>
      <c r="Q498" s="103"/>
      <c r="R498" s="103"/>
      <c r="S498" s="103"/>
      <c r="T498" s="103"/>
      <c r="U498" s="103"/>
      <c r="V498" s="103"/>
      <c r="W498" s="103"/>
      <c r="X498" s="103"/>
      <c r="Y498" s="103"/>
      <c r="Z498" s="103">
        <v>210</v>
      </c>
      <c r="AA498" s="103"/>
      <c r="AB498" s="103"/>
      <c r="AC498" s="103">
        <v>50</v>
      </c>
      <c r="AD498" s="103"/>
      <c r="AE498" s="103"/>
      <c r="AF498" s="103"/>
      <c r="AG498" s="103"/>
      <c r="AH498" s="103"/>
      <c r="AI498" s="103"/>
      <c r="AJ498" s="103">
        <v>45</v>
      </c>
      <c r="AK498" s="103"/>
      <c r="AL498" s="103"/>
      <c r="AM498" s="103"/>
      <c r="AN498" s="103">
        <v>305</v>
      </c>
      <c r="AO498" s="103"/>
      <c r="AP498" s="103"/>
      <c r="AQ498" s="103"/>
      <c r="AR498" s="103"/>
      <c r="AS498" s="103"/>
      <c r="AT498" s="103"/>
      <c r="AU498" s="103"/>
      <c r="AV498" s="103"/>
      <c r="AW498" s="104" t="str">
        <f>HYPERLINK("http://www.openstreetmap.org/?mlat=34.0707&amp;mlon=44.8705&amp;zoom=12#map=12/34.0707/44.8705","Maplink1")</f>
        <v>Maplink1</v>
      </c>
      <c r="AX498" s="104" t="str">
        <f>HYPERLINK("https://www.google.iq/maps/search/+34.0707,44.8705/@34.0707,44.8705,14z?hl=en","Maplink2")</f>
        <v>Maplink2</v>
      </c>
      <c r="AY498" s="104" t="str">
        <f>HYPERLINK("http://www.bing.com/maps/?lvl=14&amp;sty=h&amp;cp=34.0707~44.8705&amp;sp=point.34.0707_44.8705","Maplink3")</f>
        <v>Maplink3</v>
      </c>
    </row>
    <row r="499" spans="1:51" x14ac:dyDescent="0.2">
      <c r="A499" s="102">
        <v>27177</v>
      </c>
      <c r="B499" s="103" t="s">
        <v>32</v>
      </c>
      <c r="C499" s="103" t="s">
        <v>90</v>
      </c>
      <c r="D499" s="103" t="s">
        <v>1046</v>
      </c>
      <c r="E499" s="103" t="s">
        <v>1047</v>
      </c>
      <c r="F499" s="103">
        <v>34.047741014800003</v>
      </c>
      <c r="G499" s="103">
        <v>44.391761235799997</v>
      </c>
      <c r="H499" s="102">
        <v>42</v>
      </c>
      <c r="I499" s="102">
        <v>252</v>
      </c>
      <c r="J499" s="103"/>
      <c r="K499" s="103"/>
      <c r="L499" s="103"/>
      <c r="M499" s="103">
        <v>35</v>
      </c>
      <c r="N499" s="103">
        <v>7</v>
      </c>
      <c r="O499" s="103"/>
      <c r="P499" s="103"/>
      <c r="Q499" s="103"/>
      <c r="R499" s="103"/>
      <c r="S499" s="103"/>
      <c r="T499" s="103"/>
      <c r="U499" s="103"/>
      <c r="V499" s="103"/>
      <c r="W499" s="103"/>
      <c r="X499" s="103"/>
      <c r="Y499" s="103"/>
      <c r="Z499" s="103"/>
      <c r="AA499" s="103"/>
      <c r="AB499" s="103"/>
      <c r="AC499" s="103">
        <v>42</v>
      </c>
      <c r="AD499" s="103"/>
      <c r="AE499" s="103"/>
      <c r="AF499" s="103"/>
      <c r="AG499" s="103"/>
      <c r="AH499" s="103"/>
      <c r="AI499" s="103"/>
      <c r="AJ499" s="103"/>
      <c r="AK499" s="103"/>
      <c r="AL499" s="103"/>
      <c r="AM499" s="103"/>
      <c r="AN499" s="103">
        <v>42</v>
      </c>
      <c r="AO499" s="103"/>
      <c r="AP499" s="103"/>
      <c r="AQ499" s="103"/>
      <c r="AR499" s="103"/>
      <c r="AS499" s="103"/>
      <c r="AT499" s="103"/>
      <c r="AU499" s="103"/>
      <c r="AV499" s="103"/>
      <c r="AW499" s="104" t="str">
        <f>HYPERLINK("http://www.openstreetmap.org/?mlat=34.0477&amp;mlon=44.3918&amp;zoom=12#map=12/34.0477/44.3918","Maplink1")</f>
        <v>Maplink1</v>
      </c>
      <c r="AX499" s="104" t="str">
        <f>HYPERLINK("https://www.google.iq/maps/search/+34.0477,44.3918/@34.0477,44.3918,14z?hl=en","Maplink2")</f>
        <v>Maplink2</v>
      </c>
      <c r="AY499" s="104" t="str">
        <f>HYPERLINK("http://www.bing.com/maps/?lvl=14&amp;sty=h&amp;cp=34.0477~44.3918&amp;sp=point.34.0477_44.3918","Maplink3")</f>
        <v>Maplink3</v>
      </c>
    </row>
    <row r="500" spans="1:51" x14ac:dyDescent="0.2">
      <c r="A500" s="102">
        <v>27164</v>
      </c>
      <c r="B500" s="103" t="s">
        <v>32</v>
      </c>
      <c r="C500" s="103" t="s">
        <v>90</v>
      </c>
      <c r="D500" s="103" t="s">
        <v>1048</v>
      </c>
      <c r="E500" s="103" t="s">
        <v>1049</v>
      </c>
      <c r="F500" s="103">
        <v>34.33645379</v>
      </c>
      <c r="G500" s="103">
        <v>44.637181033399997</v>
      </c>
      <c r="H500" s="102">
        <v>13</v>
      </c>
      <c r="I500" s="102">
        <v>78</v>
      </c>
      <c r="J500" s="103"/>
      <c r="K500" s="103"/>
      <c r="L500" s="103"/>
      <c r="M500" s="103">
        <v>13</v>
      </c>
      <c r="N500" s="103"/>
      <c r="O500" s="103"/>
      <c r="P500" s="103"/>
      <c r="Q500" s="103"/>
      <c r="R500" s="103"/>
      <c r="S500" s="103"/>
      <c r="T500" s="103"/>
      <c r="U500" s="103"/>
      <c r="V500" s="103"/>
      <c r="W500" s="103"/>
      <c r="X500" s="103"/>
      <c r="Y500" s="103"/>
      <c r="Z500" s="103"/>
      <c r="AA500" s="103"/>
      <c r="AB500" s="103"/>
      <c r="AC500" s="103">
        <v>13</v>
      </c>
      <c r="AD500" s="103"/>
      <c r="AE500" s="103"/>
      <c r="AF500" s="103"/>
      <c r="AG500" s="103"/>
      <c r="AH500" s="103"/>
      <c r="AI500" s="103"/>
      <c r="AJ500" s="103"/>
      <c r="AK500" s="103"/>
      <c r="AL500" s="103"/>
      <c r="AM500" s="103"/>
      <c r="AN500" s="103">
        <v>13</v>
      </c>
      <c r="AO500" s="103"/>
      <c r="AP500" s="103"/>
      <c r="AQ500" s="103"/>
      <c r="AR500" s="103"/>
      <c r="AS500" s="103"/>
      <c r="AT500" s="103"/>
      <c r="AU500" s="103"/>
      <c r="AV500" s="103"/>
      <c r="AW500" s="104" t="str">
        <f>HYPERLINK("http://www.openstreetmap.org/?mlat=34.3365&amp;mlon=44.6372&amp;zoom=12#map=12/34.3365/44.6372","Maplink1")</f>
        <v>Maplink1</v>
      </c>
      <c r="AX500" s="104" t="str">
        <f>HYPERLINK("https://www.google.iq/maps/search/+34.3365,44.6372/@34.3365,44.6372,14z?hl=en","Maplink2")</f>
        <v>Maplink2</v>
      </c>
      <c r="AY500" s="104" t="str">
        <f>HYPERLINK("http://www.bing.com/maps/?lvl=14&amp;sty=h&amp;cp=34.3365~44.6372&amp;sp=point.34.3365_44.6372","Maplink3")</f>
        <v>Maplink3</v>
      </c>
    </row>
    <row r="501" spans="1:51" x14ac:dyDescent="0.2">
      <c r="A501" s="102">
        <v>27169</v>
      </c>
      <c r="B501" s="103" t="s">
        <v>32</v>
      </c>
      <c r="C501" s="103" t="s">
        <v>90</v>
      </c>
      <c r="D501" s="103" t="s">
        <v>1050</v>
      </c>
      <c r="E501" s="103" t="s">
        <v>1051</v>
      </c>
      <c r="F501" s="103">
        <v>34.146352329999999</v>
      </c>
      <c r="G501" s="103">
        <v>44.490673895900002</v>
      </c>
      <c r="H501" s="102">
        <v>7</v>
      </c>
      <c r="I501" s="102">
        <v>42</v>
      </c>
      <c r="J501" s="103"/>
      <c r="K501" s="103"/>
      <c r="L501" s="103"/>
      <c r="M501" s="103">
        <v>7</v>
      </c>
      <c r="N501" s="103"/>
      <c r="O501" s="103"/>
      <c r="P501" s="103"/>
      <c r="Q501" s="103"/>
      <c r="R501" s="103"/>
      <c r="S501" s="103"/>
      <c r="T501" s="103"/>
      <c r="U501" s="103"/>
      <c r="V501" s="103"/>
      <c r="W501" s="103"/>
      <c r="X501" s="103"/>
      <c r="Y501" s="103"/>
      <c r="Z501" s="103"/>
      <c r="AA501" s="103"/>
      <c r="AB501" s="103"/>
      <c r="AC501" s="103">
        <v>7</v>
      </c>
      <c r="AD501" s="103"/>
      <c r="AE501" s="103"/>
      <c r="AF501" s="103"/>
      <c r="AG501" s="103"/>
      <c r="AH501" s="103"/>
      <c r="AI501" s="103"/>
      <c r="AJ501" s="103"/>
      <c r="AK501" s="103"/>
      <c r="AL501" s="103"/>
      <c r="AM501" s="103"/>
      <c r="AN501" s="103">
        <v>7</v>
      </c>
      <c r="AO501" s="103"/>
      <c r="AP501" s="103"/>
      <c r="AQ501" s="103"/>
      <c r="AR501" s="103"/>
      <c r="AS501" s="103"/>
      <c r="AT501" s="103"/>
      <c r="AU501" s="103"/>
      <c r="AV501" s="103"/>
      <c r="AW501" s="104" t="str">
        <f>HYPERLINK("http://www.openstreetmap.org/?mlat=34.1464&amp;mlon=44.4907&amp;zoom=12#map=12/34.1464/44.4907","Maplink1")</f>
        <v>Maplink1</v>
      </c>
      <c r="AX501" s="104" t="str">
        <f>HYPERLINK("https://www.google.iq/maps/search/+34.1464,44.4907/@34.1464,44.4907,14z?hl=en","Maplink2")</f>
        <v>Maplink2</v>
      </c>
      <c r="AY501" s="104" t="str">
        <f>HYPERLINK("http://www.bing.com/maps/?lvl=14&amp;sty=h&amp;cp=34.1464~44.4907&amp;sp=point.34.1464_44.4907","Maplink3")</f>
        <v>Maplink3</v>
      </c>
    </row>
    <row r="502" spans="1:51" x14ac:dyDescent="0.2">
      <c r="A502" s="102">
        <v>29563</v>
      </c>
      <c r="B502" s="103" t="s">
        <v>32</v>
      </c>
      <c r="C502" s="103" t="s">
        <v>90</v>
      </c>
      <c r="D502" s="103" t="s">
        <v>1052</v>
      </c>
      <c r="E502" s="103" t="s">
        <v>1053</v>
      </c>
      <c r="F502" s="103">
        <v>34.268471329299999</v>
      </c>
      <c r="G502" s="103">
        <v>44.538357095800002</v>
      </c>
      <c r="H502" s="102">
        <v>20</v>
      </c>
      <c r="I502" s="102">
        <v>120</v>
      </c>
      <c r="J502" s="103"/>
      <c r="K502" s="103"/>
      <c r="L502" s="103"/>
      <c r="M502" s="103">
        <v>20</v>
      </c>
      <c r="N502" s="103"/>
      <c r="O502" s="103"/>
      <c r="P502" s="103"/>
      <c r="Q502" s="103"/>
      <c r="R502" s="103"/>
      <c r="S502" s="103"/>
      <c r="T502" s="103"/>
      <c r="U502" s="103"/>
      <c r="V502" s="103"/>
      <c r="W502" s="103"/>
      <c r="X502" s="103"/>
      <c r="Y502" s="103"/>
      <c r="Z502" s="103">
        <v>20</v>
      </c>
      <c r="AA502" s="103"/>
      <c r="AB502" s="103"/>
      <c r="AC502" s="103"/>
      <c r="AD502" s="103"/>
      <c r="AE502" s="103"/>
      <c r="AF502" s="103"/>
      <c r="AG502" s="103"/>
      <c r="AH502" s="103"/>
      <c r="AI502" s="103"/>
      <c r="AJ502" s="103"/>
      <c r="AK502" s="103"/>
      <c r="AL502" s="103"/>
      <c r="AM502" s="103"/>
      <c r="AN502" s="103">
        <v>20</v>
      </c>
      <c r="AO502" s="103"/>
      <c r="AP502" s="103"/>
      <c r="AQ502" s="103"/>
      <c r="AR502" s="103"/>
      <c r="AS502" s="103"/>
      <c r="AT502" s="103"/>
      <c r="AU502" s="103"/>
      <c r="AV502" s="103"/>
      <c r="AW502" s="104" t="str">
        <f>HYPERLINK("http://www.openstreetmap.org/?mlat=34.2685&amp;mlon=44.5384&amp;zoom=12#map=12/34.2685/44.5384","Maplink1")</f>
        <v>Maplink1</v>
      </c>
      <c r="AX502" s="104" t="str">
        <f>HYPERLINK("https://www.google.iq/maps/search/+34.2685,44.5384/@34.2685,44.5384,14z?hl=en","Maplink2")</f>
        <v>Maplink2</v>
      </c>
      <c r="AY502" s="104" t="str">
        <f>HYPERLINK("http://www.bing.com/maps/?lvl=14&amp;sty=h&amp;cp=34.2685~44.5384&amp;sp=point.34.2685_44.5384","Maplink3")</f>
        <v>Maplink3</v>
      </c>
    </row>
    <row r="503" spans="1:51" x14ac:dyDescent="0.2">
      <c r="A503" s="102">
        <v>21223</v>
      </c>
      <c r="B503" s="103" t="s">
        <v>32</v>
      </c>
      <c r="C503" s="103" t="s">
        <v>90</v>
      </c>
      <c r="D503" s="103" t="s">
        <v>1105</v>
      </c>
      <c r="E503" s="103" t="s">
        <v>1106</v>
      </c>
      <c r="F503" s="103">
        <v>34.332530419999998</v>
      </c>
      <c r="G503" s="103">
        <v>44.559677265099999</v>
      </c>
      <c r="H503" s="102">
        <v>163</v>
      </c>
      <c r="I503" s="102">
        <v>978</v>
      </c>
      <c r="J503" s="103"/>
      <c r="K503" s="103"/>
      <c r="L503" s="103"/>
      <c r="M503" s="103">
        <v>163</v>
      </c>
      <c r="N503" s="103"/>
      <c r="O503" s="103"/>
      <c r="P503" s="103"/>
      <c r="Q503" s="103"/>
      <c r="R503" s="103"/>
      <c r="S503" s="103"/>
      <c r="T503" s="103"/>
      <c r="U503" s="103"/>
      <c r="V503" s="103"/>
      <c r="W503" s="103"/>
      <c r="X503" s="103"/>
      <c r="Y503" s="103"/>
      <c r="Z503" s="103">
        <v>163</v>
      </c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103">
        <v>163</v>
      </c>
      <c r="AO503" s="103"/>
      <c r="AP503" s="103"/>
      <c r="AQ503" s="103"/>
      <c r="AR503" s="103"/>
      <c r="AS503" s="103"/>
      <c r="AT503" s="103"/>
      <c r="AU503" s="103"/>
      <c r="AV503" s="103"/>
      <c r="AW503" s="104" t="str">
        <f>HYPERLINK("http://www.openstreetmap.org/?mlat=34.3325&amp;mlon=44.5597&amp;zoom=12#map=12/34.3325/44.5597","Maplink1")</f>
        <v>Maplink1</v>
      </c>
      <c r="AX503" s="104" t="str">
        <f>HYPERLINK("https://www.google.iq/maps/search/+34.3325,44.5597/@34.3325,44.5597,14z?hl=en","Maplink2")</f>
        <v>Maplink2</v>
      </c>
      <c r="AY503" s="104" t="str">
        <f>HYPERLINK("http://www.bing.com/maps/?lvl=14&amp;sty=h&amp;cp=34.3325~44.5597&amp;sp=point.34.3325_44.5597","Maplink3")</f>
        <v>Maplink3</v>
      </c>
    </row>
    <row r="504" spans="1:51" x14ac:dyDescent="0.2">
      <c r="A504" s="102">
        <v>27160</v>
      </c>
      <c r="B504" s="103" t="s">
        <v>32</v>
      </c>
      <c r="C504" s="103" t="s">
        <v>90</v>
      </c>
      <c r="D504" s="103" t="s">
        <v>1119</v>
      </c>
      <c r="E504" s="103" t="s">
        <v>1120</v>
      </c>
      <c r="F504" s="103">
        <v>34.311416190000003</v>
      </c>
      <c r="G504" s="103">
        <v>44.8118724347</v>
      </c>
      <c r="H504" s="102">
        <v>100</v>
      </c>
      <c r="I504" s="102">
        <v>600</v>
      </c>
      <c r="J504" s="103"/>
      <c r="K504" s="103"/>
      <c r="L504" s="103"/>
      <c r="M504" s="103">
        <v>85</v>
      </c>
      <c r="N504" s="103">
        <v>15</v>
      </c>
      <c r="O504" s="103"/>
      <c r="P504" s="103"/>
      <c r="Q504" s="103"/>
      <c r="R504" s="103"/>
      <c r="S504" s="103"/>
      <c r="T504" s="103"/>
      <c r="U504" s="103"/>
      <c r="V504" s="103"/>
      <c r="W504" s="103"/>
      <c r="X504" s="103"/>
      <c r="Y504" s="103"/>
      <c r="Z504" s="103"/>
      <c r="AA504" s="103"/>
      <c r="AB504" s="103"/>
      <c r="AC504" s="103">
        <v>100</v>
      </c>
      <c r="AD504" s="103"/>
      <c r="AE504" s="103"/>
      <c r="AF504" s="103"/>
      <c r="AG504" s="103"/>
      <c r="AH504" s="103"/>
      <c r="AI504" s="103"/>
      <c r="AJ504" s="103"/>
      <c r="AK504" s="103"/>
      <c r="AL504" s="103"/>
      <c r="AM504" s="103"/>
      <c r="AN504" s="103">
        <v>100</v>
      </c>
      <c r="AO504" s="103"/>
      <c r="AP504" s="103"/>
      <c r="AQ504" s="103"/>
      <c r="AR504" s="103"/>
      <c r="AS504" s="103"/>
      <c r="AT504" s="103"/>
      <c r="AU504" s="103"/>
      <c r="AV504" s="103"/>
      <c r="AW504" s="104" t="str">
        <f>HYPERLINK("http://www.openstreetmap.org/?mlat=34.3114&amp;mlon=44.8119&amp;zoom=12#map=12/34.3114/44.8119","Maplink1")</f>
        <v>Maplink1</v>
      </c>
      <c r="AX504" s="104" t="str">
        <f>HYPERLINK("https://www.google.iq/maps/search/+34.3114,44.8119/@34.3114,44.8119,14z?hl=en","Maplink2")</f>
        <v>Maplink2</v>
      </c>
      <c r="AY504" s="104" t="str">
        <f>HYPERLINK("http://www.bing.com/maps/?lvl=14&amp;sty=h&amp;cp=34.3114~44.8119&amp;sp=point.34.3114_44.8119","Maplink3")</f>
        <v>Maplink3</v>
      </c>
    </row>
    <row r="505" spans="1:51" x14ac:dyDescent="0.2">
      <c r="A505" s="102">
        <v>29616</v>
      </c>
      <c r="B505" s="103" t="s">
        <v>32</v>
      </c>
      <c r="C505" s="103" t="s">
        <v>90</v>
      </c>
      <c r="D505" s="103" t="s">
        <v>1121</v>
      </c>
      <c r="E505" s="103" t="s">
        <v>1122</v>
      </c>
      <c r="F505" s="103">
        <v>34.375960848699997</v>
      </c>
      <c r="G505" s="103">
        <v>44.543528733899997</v>
      </c>
      <c r="H505" s="102">
        <v>85</v>
      </c>
      <c r="I505" s="102">
        <v>510</v>
      </c>
      <c r="J505" s="103"/>
      <c r="K505" s="103"/>
      <c r="L505" s="103"/>
      <c r="M505" s="103">
        <v>70</v>
      </c>
      <c r="N505" s="103">
        <v>15</v>
      </c>
      <c r="O505" s="103"/>
      <c r="P505" s="103"/>
      <c r="Q505" s="103"/>
      <c r="R505" s="103"/>
      <c r="S505" s="103"/>
      <c r="T505" s="103"/>
      <c r="U505" s="103"/>
      <c r="V505" s="103"/>
      <c r="W505" s="103"/>
      <c r="X505" s="103"/>
      <c r="Y505" s="103"/>
      <c r="Z505" s="103">
        <v>20</v>
      </c>
      <c r="AA505" s="103"/>
      <c r="AB505" s="103"/>
      <c r="AC505" s="103">
        <v>65</v>
      </c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103">
        <v>85</v>
      </c>
      <c r="AO505" s="103"/>
      <c r="AP505" s="103"/>
      <c r="AQ505" s="103"/>
      <c r="AR505" s="103"/>
      <c r="AS505" s="103"/>
      <c r="AT505" s="103"/>
      <c r="AU505" s="103"/>
      <c r="AV505" s="103"/>
      <c r="AW505" s="104" t="str">
        <f>HYPERLINK("http://www.openstreetmap.org/?mlat=34.376&amp;mlon=44.5435&amp;zoom=12#map=12/34.376/44.5435","Maplink1")</f>
        <v>Maplink1</v>
      </c>
      <c r="AX505" s="104" t="str">
        <f>HYPERLINK("https://www.google.iq/maps/search/+34.376,44.5435/@34.376,44.5435,14z?hl=en","Maplink2")</f>
        <v>Maplink2</v>
      </c>
      <c r="AY505" s="104" t="str">
        <f>HYPERLINK("http://www.bing.com/maps/?lvl=14&amp;sty=h&amp;cp=34.376~44.5435&amp;sp=point.34.376_44.5435","Maplink3")</f>
        <v>Maplink3</v>
      </c>
    </row>
    <row r="506" spans="1:51" x14ac:dyDescent="0.2">
      <c r="A506" s="102">
        <v>25661</v>
      </c>
      <c r="B506" s="103" t="s">
        <v>32</v>
      </c>
      <c r="C506" s="103" t="s">
        <v>90</v>
      </c>
      <c r="D506" s="103" t="s">
        <v>1153</v>
      </c>
      <c r="E506" s="103" t="s">
        <v>1154</v>
      </c>
      <c r="F506" s="103">
        <v>34.085861180499997</v>
      </c>
      <c r="G506" s="103">
        <v>44.726595767600003</v>
      </c>
      <c r="H506" s="102">
        <v>230</v>
      </c>
      <c r="I506" s="102">
        <v>1380</v>
      </c>
      <c r="J506" s="103"/>
      <c r="K506" s="103"/>
      <c r="L506" s="103"/>
      <c r="M506" s="103">
        <v>210</v>
      </c>
      <c r="N506" s="103">
        <v>20</v>
      </c>
      <c r="O506" s="103"/>
      <c r="P506" s="103"/>
      <c r="Q506" s="103"/>
      <c r="R506" s="103"/>
      <c r="S506" s="103"/>
      <c r="T506" s="103"/>
      <c r="U506" s="103"/>
      <c r="V506" s="103"/>
      <c r="W506" s="103"/>
      <c r="X506" s="103"/>
      <c r="Y506" s="103"/>
      <c r="Z506" s="103">
        <v>230</v>
      </c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3"/>
      <c r="AM506" s="103"/>
      <c r="AN506" s="103"/>
      <c r="AO506" s="103"/>
      <c r="AP506" s="103">
        <v>230</v>
      </c>
      <c r="AQ506" s="103"/>
      <c r="AR506" s="103"/>
      <c r="AS506" s="103"/>
      <c r="AT506" s="103"/>
      <c r="AU506" s="103"/>
      <c r="AV506" s="103"/>
      <c r="AW506" s="104" t="str">
        <f>HYPERLINK("http://www.openstreetmap.org/?mlat=34.0859&amp;mlon=44.7266&amp;zoom=12#map=12/34.0859/44.7266","Maplink1")</f>
        <v>Maplink1</v>
      </c>
      <c r="AX506" s="104" t="str">
        <f>HYPERLINK("https://www.google.iq/maps/search/+34.0859,44.7266/@34.0859,44.7266,14z?hl=en","Maplink2")</f>
        <v>Maplink2</v>
      </c>
      <c r="AY506" s="104" t="str">
        <f>HYPERLINK("http://www.bing.com/maps/?lvl=14&amp;sty=h&amp;cp=34.0859~44.7266&amp;sp=point.34.0859_44.7266","Maplink3")</f>
        <v>Maplink3</v>
      </c>
    </row>
    <row r="507" spans="1:51" x14ac:dyDescent="0.2">
      <c r="A507" s="102">
        <v>25684</v>
      </c>
      <c r="B507" s="103" t="s">
        <v>32</v>
      </c>
      <c r="C507" s="103" t="s">
        <v>90</v>
      </c>
      <c r="D507" s="103" t="s">
        <v>1155</v>
      </c>
      <c r="E507" s="103" t="s">
        <v>1156</v>
      </c>
      <c r="F507" s="103">
        <v>34.039342380000001</v>
      </c>
      <c r="G507" s="103">
        <v>44.878538761199998</v>
      </c>
      <c r="H507" s="102">
        <v>190</v>
      </c>
      <c r="I507" s="102">
        <v>1140</v>
      </c>
      <c r="J507" s="103"/>
      <c r="K507" s="103"/>
      <c r="L507" s="103"/>
      <c r="M507" s="103">
        <v>182</v>
      </c>
      <c r="N507" s="103">
        <v>8</v>
      </c>
      <c r="O507" s="103"/>
      <c r="P507" s="103"/>
      <c r="Q507" s="103"/>
      <c r="R507" s="103"/>
      <c r="S507" s="103"/>
      <c r="T507" s="103"/>
      <c r="U507" s="103"/>
      <c r="V507" s="103"/>
      <c r="W507" s="103"/>
      <c r="X507" s="103"/>
      <c r="Y507" s="103"/>
      <c r="Z507" s="103">
        <v>190</v>
      </c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3"/>
      <c r="AM507" s="103"/>
      <c r="AN507" s="103"/>
      <c r="AO507" s="103"/>
      <c r="AP507" s="103">
        <v>190</v>
      </c>
      <c r="AQ507" s="103"/>
      <c r="AR507" s="103"/>
      <c r="AS507" s="103"/>
      <c r="AT507" s="103"/>
      <c r="AU507" s="103"/>
      <c r="AV507" s="103"/>
      <c r="AW507" s="104" t="str">
        <f>HYPERLINK("http://www.openstreetmap.org/?mlat=34.0393&amp;mlon=44.8785&amp;zoom=12#map=12/34.0393/44.8785","Maplink1")</f>
        <v>Maplink1</v>
      </c>
      <c r="AX507" s="104" t="str">
        <f>HYPERLINK("https://www.google.iq/maps/search/+34.0393,44.8785/@34.0393,44.8785,14z?hl=en","Maplink2")</f>
        <v>Maplink2</v>
      </c>
      <c r="AY507" s="104" t="str">
        <f>HYPERLINK("http://www.bing.com/maps/?lvl=14&amp;sty=h&amp;cp=34.0393~44.8785&amp;sp=point.34.0393_44.8785","Maplink3")</f>
        <v>Maplink3</v>
      </c>
    </row>
    <row r="508" spans="1:51" x14ac:dyDescent="0.2">
      <c r="A508" s="102">
        <v>28470</v>
      </c>
      <c r="B508" s="103" t="s">
        <v>32</v>
      </c>
      <c r="C508" s="103" t="s">
        <v>90</v>
      </c>
      <c r="D508" s="103" t="s">
        <v>1157</v>
      </c>
      <c r="E508" s="103" t="s">
        <v>1158</v>
      </c>
      <c r="F508" s="103">
        <v>34.048256996500001</v>
      </c>
      <c r="G508" s="103">
        <v>44.542423747999997</v>
      </c>
      <c r="H508" s="102">
        <v>50</v>
      </c>
      <c r="I508" s="102">
        <v>300</v>
      </c>
      <c r="J508" s="103"/>
      <c r="K508" s="103"/>
      <c r="L508" s="103"/>
      <c r="M508" s="103">
        <v>50</v>
      </c>
      <c r="N508" s="103"/>
      <c r="O508" s="103"/>
      <c r="P508" s="103"/>
      <c r="Q508" s="103"/>
      <c r="R508" s="103"/>
      <c r="S508" s="103"/>
      <c r="T508" s="103"/>
      <c r="U508" s="103"/>
      <c r="V508" s="103"/>
      <c r="W508" s="103"/>
      <c r="X508" s="103"/>
      <c r="Y508" s="103"/>
      <c r="Z508" s="103">
        <v>50</v>
      </c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103">
        <v>50</v>
      </c>
      <c r="AO508" s="103"/>
      <c r="AP508" s="103"/>
      <c r="AQ508" s="103"/>
      <c r="AR508" s="103"/>
      <c r="AS508" s="103"/>
      <c r="AT508" s="103"/>
      <c r="AU508" s="103"/>
      <c r="AV508" s="103"/>
      <c r="AW508" s="104" t="str">
        <f>HYPERLINK("http://www.openstreetmap.org/?mlat=34.0483&amp;mlon=44.5424&amp;zoom=12#map=12/34.0483/44.5424","Maplink1")</f>
        <v>Maplink1</v>
      </c>
      <c r="AX508" s="104" t="str">
        <f>HYPERLINK("https://www.google.iq/maps/search/+34.0483,44.5424/@34.0483,44.5424,14z?hl=en","Maplink2")</f>
        <v>Maplink2</v>
      </c>
      <c r="AY508" s="104" t="str">
        <f>HYPERLINK("http://www.bing.com/maps/?lvl=14&amp;sty=h&amp;cp=34.0483~44.5424&amp;sp=point.34.0483_44.5424","Maplink3")</f>
        <v>Maplink3</v>
      </c>
    </row>
    <row r="509" spans="1:51" x14ac:dyDescent="0.2">
      <c r="A509" s="102">
        <v>33840</v>
      </c>
      <c r="B509" s="103" t="s">
        <v>32</v>
      </c>
      <c r="C509" s="103" t="s">
        <v>90</v>
      </c>
      <c r="D509" s="103" t="s">
        <v>1159</v>
      </c>
      <c r="E509" s="103" t="s">
        <v>1160</v>
      </c>
      <c r="F509" s="103">
        <v>34.075495262799997</v>
      </c>
      <c r="G509" s="103">
        <v>44.966808307999997</v>
      </c>
      <c r="H509" s="102">
        <v>353</v>
      </c>
      <c r="I509" s="102">
        <v>2118</v>
      </c>
      <c r="J509" s="103"/>
      <c r="K509" s="103"/>
      <c r="L509" s="103"/>
      <c r="M509" s="103">
        <v>236</v>
      </c>
      <c r="N509" s="103">
        <v>117</v>
      </c>
      <c r="O509" s="103"/>
      <c r="P509" s="103"/>
      <c r="Q509" s="103"/>
      <c r="R509" s="103"/>
      <c r="S509" s="103"/>
      <c r="T509" s="103"/>
      <c r="U509" s="103"/>
      <c r="V509" s="103"/>
      <c r="W509" s="103"/>
      <c r="X509" s="103"/>
      <c r="Y509" s="103"/>
      <c r="Z509" s="103">
        <v>313</v>
      </c>
      <c r="AA509" s="103"/>
      <c r="AB509" s="103"/>
      <c r="AC509" s="103">
        <v>25</v>
      </c>
      <c r="AD509" s="103"/>
      <c r="AE509" s="103"/>
      <c r="AF509" s="103"/>
      <c r="AG509" s="103"/>
      <c r="AH509" s="103"/>
      <c r="AI509" s="103"/>
      <c r="AJ509" s="103">
        <v>15</v>
      </c>
      <c r="AK509" s="103"/>
      <c r="AL509" s="103"/>
      <c r="AM509" s="103"/>
      <c r="AN509" s="103"/>
      <c r="AO509" s="103"/>
      <c r="AP509" s="103">
        <v>353</v>
      </c>
      <c r="AQ509" s="103"/>
      <c r="AR509" s="103"/>
      <c r="AS509" s="103"/>
      <c r="AT509" s="103"/>
      <c r="AU509" s="103"/>
      <c r="AV509" s="103"/>
      <c r="AW509" s="104" t="str">
        <f>HYPERLINK("http://www.openstreetmap.org/?mlat=34.0755&amp;mlon=44.9668&amp;zoom=12#map=12/34.0755/44.9668","Maplink1")</f>
        <v>Maplink1</v>
      </c>
      <c r="AX509" s="104" t="str">
        <f>HYPERLINK("https://www.google.iq/maps/search/+34.0755,44.9668/@34.0755,44.9668,14z?hl=en","Maplink2")</f>
        <v>Maplink2</v>
      </c>
      <c r="AY509" s="104" t="str">
        <f>HYPERLINK("http://www.bing.com/maps/?lvl=14&amp;sty=h&amp;cp=34.0755~44.9668&amp;sp=point.34.0755_44.9668","Maplink3")</f>
        <v>Maplink3</v>
      </c>
    </row>
    <row r="510" spans="1:51" x14ac:dyDescent="0.2">
      <c r="A510" s="102">
        <v>25678</v>
      </c>
      <c r="B510" s="103" t="s">
        <v>32</v>
      </c>
      <c r="C510" s="103" t="s">
        <v>90</v>
      </c>
      <c r="D510" s="103" t="s">
        <v>1123</v>
      </c>
      <c r="E510" s="103" t="s">
        <v>1124</v>
      </c>
      <c r="F510" s="103">
        <v>34.125489027</v>
      </c>
      <c r="G510" s="103">
        <v>44.844108455799997</v>
      </c>
      <c r="H510" s="102">
        <v>164</v>
      </c>
      <c r="I510" s="102">
        <v>984</v>
      </c>
      <c r="J510" s="103"/>
      <c r="K510" s="103"/>
      <c r="L510" s="103"/>
      <c r="M510" s="103">
        <v>164</v>
      </c>
      <c r="N510" s="103"/>
      <c r="O510" s="103"/>
      <c r="P510" s="103"/>
      <c r="Q510" s="103"/>
      <c r="R510" s="103"/>
      <c r="S510" s="103"/>
      <c r="T510" s="103"/>
      <c r="U510" s="103"/>
      <c r="V510" s="103"/>
      <c r="W510" s="103"/>
      <c r="X510" s="103"/>
      <c r="Y510" s="103"/>
      <c r="Z510" s="103">
        <v>154</v>
      </c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>
        <v>10</v>
      </c>
      <c r="AK510" s="103"/>
      <c r="AL510" s="103"/>
      <c r="AM510" s="103"/>
      <c r="AN510" s="103"/>
      <c r="AO510" s="103"/>
      <c r="AP510" s="103">
        <v>164</v>
      </c>
      <c r="AQ510" s="103"/>
      <c r="AR510" s="103"/>
      <c r="AS510" s="103"/>
      <c r="AT510" s="103"/>
      <c r="AU510" s="103"/>
      <c r="AV510" s="103"/>
      <c r="AW510" s="104" t="str">
        <f>HYPERLINK("http://www.openstreetmap.org/?mlat=34.1255&amp;mlon=44.8441&amp;zoom=12#map=12/34.1255/44.8441","Maplink1")</f>
        <v>Maplink1</v>
      </c>
      <c r="AX510" s="104" t="str">
        <f>HYPERLINK("https://www.google.iq/maps/search/+34.1255,44.8441/@34.1255,44.8441,14z?hl=en","Maplink2")</f>
        <v>Maplink2</v>
      </c>
      <c r="AY510" s="104" t="str">
        <f>HYPERLINK("http://www.bing.com/maps/?lvl=14&amp;sty=h&amp;cp=34.1255~44.8441&amp;sp=point.34.1255_44.8441","Maplink3")</f>
        <v>Maplink3</v>
      </c>
    </row>
    <row r="511" spans="1:51" x14ac:dyDescent="0.2">
      <c r="A511" s="102">
        <v>27180</v>
      </c>
      <c r="B511" s="103" t="s">
        <v>32</v>
      </c>
      <c r="C511" s="103" t="s">
        <v>90</v>
      </c>
      <c r="D511" s="103" t="s">
        <v>1125</v>
      </c>
      <c r="E511" s="103" t="s">
        <v>1126</v>
      </c>
      <c r="F511" s="103">
        <v>34.211755480000001</v>
      </c>
      <c r="G511" s="103">
        <v>44.486182695799997</v>
      </c>
      <c r="H511" s="102">
        <v>140</v>
      </c>
      <c r="I511" s="102">
        <v>840</v>
      </c>
      <c r="J511" s="103"/>
      <c r="K511" s="103"/>
      <c r="L511" s="103"/>
      <c r="M511" s="103">
        <v>140</v>
      </c>
      <c r="N511" s="103"/>
      <c r="O511" s="103"/>
      <c r="P511" s="103"/>
      <c r="Q511" s="103"/>
      <c r="R511" s="103"/>
      <c r="S511" s="103"/>
      <c r="T511" s="103"/>
      <c r="U511" s="103"/>
      <c r="V511" s="103"/>
      <c r="W511" s="103"/>
      <c r="X511" s="103"/>
      <c r="Y511" s="103"/>
      <c r="Z511" s="103">
        <v>60</v>
      </c>
      <c r="AA511" s="103"/>
      <c r="AB511" s="103"/>
      <c r="AC511" s="103">
        <v>80</v>
      </c>
      <c r="AD511" s="103"/>
      <c r="AE511" s="103"/>
      <c r="AF511" s="103"/>
      <c r="AG511" s="103"/>
      <c r="AH511" s="103"/>
      <c r="AI511" s="103"/>
      <c r="AJ511" s="103"/>
      <c r="AK511" s="103"/>
      <c r="AL511" s="103"/>
      <c r="AM511" s="103"/>
      <c r="AN511" s="103">
        <v>140</v>
      </c>
      <c r="AO511" s="103"/>
      <c r="AP511" s="103"/>
      <c r="AQ511" s="103"/>
      <c r="AR511" s="103"/>
      <c r="AS511" s="103"/>
      <c r="AT511" s="103"/>
      <c r="AU511" s="103"/>
      <c r="AV511" s="103"/>
      <c r="AW511" s="104" t="str">
        <f>HYPERLINK("http://www.openstreetmap.org/?mlat=34.2118&amp;mlon=44.4862&amp;zoom=12#map=12/34.2118/44.4862","Maplink1")</f>
        <v>Maplink1</v>
      </c>
      <c r="AX511" s="104" t="str">
        <f>HYPERLINK("https://www.google.iq/maps/search/+34.2118,44.4862/@34.2118,44.4862,14z?hl=en","Maplink2")</f>
        <v>Maplink2</v>
      </c>
      <c r="AY511" s="104" t="str">
        <f>HYPERLINK("http://www.bing.com/maps/?lvl=14&amp;sty=h&amp;cp=34.2118~44.4862&amp;sp=point.34.2118_44.4862","Maplink3")</f>
        <v>Maplink3</v>
      </c>
    </row>
    <row r="512" spans="1:51" x14ac:dyDescent="0.2">
      <c r="A512" s="102">
        <v>28468</v>
      </c>
      <c r="B512" s="103" t="s">
        <v>32</v>
      </c>
      <c r="C512" s="103" t="s">
        <v>90</v>
      </c>
      <c r="D512" s="103" t="s">
        <v>1127</v>
      </c>
      <c r="E512" s="103" t="s">
        <v>1128</v>
      </c>
      <c r="F512" s="103">
        <v>34.288540455899998</v>
      </c>
      <c r="G512" s="103">
        <v>44.537333474699999</v>
      </c>
      <c r="H512" s="102">
        <v>37</v>
      </c>
      <c r="I512" s="102">
        <v>222</v>
      </c>
      <c r="J512" s="103"/>
      <c r="K512" s="103"/>
      <c r="L512" s="103"/>
      <c r="M512" s="103">
        <v>37</v>
      </c>
      <c r="N512" s="103"/>
      <c r="O512" s="103"/>
      <c r="P512" s="103"/>
      <c r="Q512" s="103"/>
      <c r="R512" s="103"/>
      <c r="S512" s="103"/>
      <c r="T512" s="103"/>
      <c r="U512" s="103"/>
      <c r="V512" s="103"/>
      <c r="W512" s="103"/>
      <c r="X512" s="103"/>
      <c r="Y512" s="103"/>
      <c r="Z512" s="103">
        <v>37</v>
      </c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3"/>
      <c r="AM512" s="103"/>
      <c r="AN512" s="103">
        <v>37</v>
      </c>
      <c r="AO512" s="103"/>
      <c r="AP512" s="103"/>
      <c r="AQ512" s="103"/>
      <c r="AR512" s="103"/>
      <c r="AS512" s="103"/>
      <c r="AT512" s="103"/>
      <c r="AU512" s="103"/>
      <c r="AV512" s="103"/>
      <c r="AW512" s="104" t="str">
        <f>HYPERLINK("http://www.openstreetmap.org/?mlat=34.2885&amp;mlon=44.5373&amp;zoom=12#map=12/34.2885/44.5373","Maplink1")</f>
        <v>Maplink1</v>
      </c>
      <c r="AX512" s="104" t="str">
        <f>HYPERLINK("https://www.google.iq/maps/search/+34.2885,44.5373/@34.2885,44.5373,14z?hl=en","Maplink2")</f>
        <v>Maplink2</v>
      </c>
      <c r="AY512" s="104" t="str">
        <f>HYPERLINK("http://www.bing.com/maps/?lvl=14&amp;sty=h&amp;cp=34.2885~44.5373&amp;sp=point.34.2885_44.5373","Maplink3")</f>
        <v>Maplink3</v>
      </c>
    </row>
    <row r="513" spans="1:51" x14ac:dyDescent="0.2">
      <c r="A513" s="102">
        <v>25652</v>
      </c>
      <c r="B513" s="103" t="s">
        <v>32</v>
      </c>
      <c r="C513" s="103" t="s">
        <v>90</v>
      </c>
      <c r="D513" s="103" t="s">
        <v>1020</v>
      </c>
      <c r="E513" s="103" t="s">
        <v>1021</v>
      </c>
      <c r="F513" s="103">
        <v>34.070227393300001</v>
      </c>
      <c r="G513" s="103">
        <v>44.8642580733</v>
      </c>
      <c r="H513" s="102">
        <v>373</v>
      </c>
      <c r="I513" s="102">
        <v>2238</v>
      </c>
      <c r="J513" s="103"/>
      <c r="K513" s="103"/>
      <c r="L513" s="103"/>
      <c r="M513" s="103">
        <v>373</v>
      </c>
      <c r="N513" s="103"/>
      <c r="O513" s="103"/>
      <c r="P513" s="103"/>
      <c r="Q513" s="103"/>
      <c r="R513" s="103"/>
      <c r="S513" s="103"/>
      <c r="T513" s="103"/>
      <c r="U513" s="103"/>
      <c r="V513" s="103"/>
      <c r="W513" s="103"/>
      <c r="X513" s="103"/>
      <c r="Y513" s="103"/>
      <c r="Z513" s="103">
        <v>346</v>
      </c>
      <c r="AA513" s="103"/>
      <c r="AB513" s="103"/>
      <c r="AC513" s="103">
        <v>17</v>
      </c>
      <c r="AD513" s="103"/>
      <c r="AE513" s="103"/>
      <c r="AF513" s="103"/>
      <c r="AG513" s="103"/>
      <c r="AH513" s="103"/>
      <c r="AI513" s="103"/>
      <c r="AJ513" s="103">
        <v>10</v>
      </c>
      <c r="AK513" s="103"/>
      <c r="AL513" s="103"/>
      <c r="AM513" s="103"/>
      <c r="AN513" s="103">
        <v>373</v>
      </c>
      <c r="AO513" s="103"/>
      <c r="AP513" s="103"/>
      <c r="AQ513" s="103"/>
      <c r="AR513" s="103"/>
      <c r="AS513" s="103"/>
      <c r="AT513" s="103"/>
      <c r="AU513" s="103"/>
      <c r="AV513" s="103"/>
      <c r="AW513" s="104" t="str">
        <f>HYPERLINK("http://www.openstreetmap.org/?mlat=34.0702&amp;mlon=44.8643&amp;zoom=12#map=12/34.0702/44.8643","Maplink1")</f>
        <v>Maplink1</v>
      </c>
      <c r="AX513" s="104" t="str">
        <f>HYPERLINK("https://www.google.iq/maps/search/+34.0702,44.8643/@34.0702,44.8643,14z?hl=en","Maplink2")</f>
        <v>Maplink2</v>
      </c>
      <c r="AY513" s="104" t="str">
        <f>HYPERLINK("http://www.bing.com/maps/?lvl=14&amp;sty=h&amp;cp=34.0702~44.8643&amp;sp=point.34.0702_44.8643","Maplink3")</f>
        <v>Maplink3</v>
      </c>
    </row>
    <row r="514" spans="1:51" x14ac:dyDescent="0.2">
      <c r="A514" s="102">
        <v>27183</v>
      </c>
      <c r="B514" s="103" t="s">
        <v>32</v>
      </c>
      <c r="C514" s="103" t="s">
        <v>90</v>
      </c>
      <c r="D514" s="103" t="s">
        <v>1022</v>
      </c>
      <c r="E514" s="103" t="s">
        <v>1023</v>
      </c>
      <c r="F514" s="103">
        <v>34.216574970000003</v>
      </c>
      <c r="G514" s="103">
        <v>44.520230991699997</v>
      </c>
      <c r="H514" s="102">
        <v>17</v>
      </c>
      <c r="I514" s="102">
        <v>102</v>
      </c>
      <c r="J514" s="103"/>
      <c r="K514" s="103"/>
      <c r="L514" s="103"/>
      <c r="M514" s="103">
        <v>17</v>
      </c>
      <c r="N514" s="103"/>
      <c r="O514" s="103"/>
      <c r="P514" s="103"/>
      <c r="Q514" s="103"/>
      <c r="R514" s="103"/>
      <c r="S514" s="103"/>
      <c r="T514" s="103"/>
      <c r="U514" s="103"/>
      <c r="V514" s="103"/>
      <c r="W514" s="103"/>
      <c r="X514" s="103"/>
      <c r="Y514" s="103"/>
      <c r="Z514" s="103"/>
      <c r="AA514" s="103"/>
      <c r="AB514" s="103"/>
      <c r="AC514" s="103">
        <v>17</v>
      </c>
      <c r="AD514" s="103"/>
      <c r="AE514" s="103"/>
      <c r="AF514" s="103"/>
      <c r="AG514" s="103"/>
      <c r="AH514" s="103"/>
      <c r="AI514" s="103"/>
      <c r="AJ514" s="103"/>
      <c r="AK514" s="103"/>
      <c r="AL514" s="103"/>
      <c r="AM514" s="103"/>
      <c r="AN514" s="103">
        <v>17</v>
      </c>
      <c r="AO514" s="103"/>
      <c r="AP514" s="103"/>
      <c r="AQ514" s="103"/>
      <c r="AR514" s="103"/>
      <c r="AS514" s="103"/>
      <c r="AT514" s="103"/>
      <c r="AU514" s="103"/>
      <c r="AV514" s="103"/>
      <c r="AW514" s="104" t="str">
        <f>HYPERLINK("http://www.openstreetmap.org/?mlat=34.2166&amp;mlon=44.5202&amp;zoom=12#map=12/34.2166/44.5202","Maplink1")</f>
        <v>Maplink1</v>
      </c>
      <c r="AX514" s="104" t="str">
        <f>HYPERLINK("https://www.google.iq/maps/search/+34.2166,44.5202/@34.2166,44.5202,14z?hl=en","Maplink2")</f>
        <v>Maplink2</v>
      </c>
      <c r="AY514" s="104" t="str">
        <f>HYPERLINK("http://www.bing.com/maps/?lvl=14&amp;sty=h&amp;cp=34.2166~44.5202&amp;sp=point.34.2166_44.5202","Maplink3")</f>
        <v>Maplink3</v>
      </c>
    </row>
    <row r="515" spans="1:51" x14ac:dyDescent="0.2">
      <c r="A515" s="102">
        <v>27184</v>
      </c>
      <c r="B515" s="103" t="s">
        <v>32</v>
      </c>
      <c r="C515" s="103" t="s">
        <v>90</v>
      </c>
      <c r="D515" s="103" t="s">
        <v>1024</v>
      </c>
      <c r="E515" s="103" t="s">
        <v>1025</v>
      </c>
      <c r="F515" s="103">
        <v>34.209923646199996</v>
      </c>
      <c r="G515" s="103">
        <v>44.525131584</v>
      </c>
      <c r="H515" s="102">
        <v>22</v>
      </c>
      <c r="I515" s="102">
        <v>132</v>
      </c>
      <c r="J515" s="103"/>
      <c r="K515" s="103"/>
      <c r="L515" s="103"/>
      <c r="M515" s="103">
        <v>22</v>
      </c>
      <c r="N515" s="103"/>
      <c r="O515" s="103"/>
      <c r="P515" s="103"/>
      <c r="Q515" s="103"/>
      <c r="R515" s="103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>
        <v>22</v>
      </c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103">
        <v>22</v>
      </c>
      <c r="AO515" s="103"/>
      <c r="AP515" s="103"/>
      <c r="AQ515" s="103"/>
      <c r="AR515" s="103"/>
      <c r="AS515" s="103"/>
      <c r="AT515" s="103"/>
      <c r="AU515" s="103"/>
      <c r="AV515" s="103"/>
      <c r="AW515" s="104" t="str">
        <f>HYPERLINK("http://www.openstreetmap.org/?mlat=34.2099&amp;mlon=44.5251&amp;zoom=12#map=12/34.2099/44.5251","Maplink1")</f>
        <v>Maplink1</v>
      </c>
      <c r="AX515" s="104" t="str">
        <f>HYPERLINK("https://www.google.iq/maps/search/+34.2099,44.5251/@34.2099,44.5251,14z?hl=en","Maplink2")</f>
        <v>Maplink2</v>
      </c>
      <c r="AY515" s="104" t="str">
        <f>HYPERLINK("http://www.bing.com/maps/?lvl=14&amp;sty=h&amp;cp=34.2099~44.5251&amp;sp=point.34.2099_44.5251","Maplink3")</f>
        <v>Maplink3</v>
      </c>
    </row>
    <row r="516" spans="1:51" x14ac:dyDescent="0.2">
      <c r="A516" s="102">
        <v>29576</v>
      </c>
      <c r="B516" s="103" t="s">
        <v>32</v>
      </c>
      <c r="C516" s="103" t="s">
        <v>90</v>
      </c>
      <c r="D516" s="103" t="s">
        <v>1026</v>
      </c>
      <c r="E516" s="103" t="s">
        <v>1027</v>
      </c>
      <c r="F516" s="103">
        <v>34.361026108499999</v>
      </c>
      <c r="G516" s="103">
        <v>44.563009362199999</v>
      </c>
      <c r="H516" s="102">
        <v>163</v>
      </c>
      <c r="I516" s="102">
        <v>978</v>
      </c>
      <c r="J516" s="103"/>
      <c r="K516" s="103"/>
      <c r="L516" s="103"/>
      <c r="M516" s="103">
        <v>147</v>
      </c>
      <c r="N516" s="103">
        <v>16</v>
      </c>
      <c r="O516" s="103"/>
      <c r="P516" s="103"/>
      <c r="Q516" s="103"/>
      <c r="R516" s="103"/>
      <c r="S516" s="103"/>
      <c r="T516" s="103"/>
      <c r="U516" s="103"/>
      <c r="V516" s="103"/>
      <c r="W516" s="103"/>
      <c r="X516" s="103"/>
      <c r="Y516" s="103"/>
      <c r="Z516" s="103">
        <v>18</v>
      </c>
      <c r="AA516" s="103">
        <v>15</v>
      </c>
      <c r="AB516" s="103"/>
      <c r="AC516" s="103">
        <v>105</v>
      </c>
      <c r="AD516" s="103"/>
      <c r="AE516" s="103"/>
      <c r="AF516" s="103"/>
      <c r="AG516" s="103"/>
      <c r="AH516" s="103"/>
      <c r="AI516" s="103"/>
      <c r="AJ516" s="103">
        <v>25</v>
      </c>
      <c r="AK516" s="103"/>
      <c r="AL516" s="103"/>
      <c r="AM516" s="103"/>
      <c r="AN516" s="103">
        <v>163</v>
      </c>
      <c r="AO516" s="103"/>
      <c r="AP516" s="103"/>
      <c r="AQ516" s="103"/>
      <c r="AR516" s="103"/>
      <c r="AS516" s="103"/>
      <c r="AT516" s="103"/>
      <c r="AU516" s="103"/>
      <c r="AV516" s="103"/>
      <c r="AW516" s="104" t="str">
        <f>HYPERLINK("http://www.openstreetmap.org/?mlat=34.361&amp;mlon=44.563&amp;zoom=12#map=12/34.361/44.563","Maplink1")</f>
        <v>Maplink1</v>
      </c>
      <c r="AX516" s="104" t="str">
        <f>HYPERLINK("https://www.google.iq/maps/search/+34.361,44.563/@34.361,44.563,14z?hl=en","Maplink2")</f>
        <v>Maplink2</v>
      </c>
      <c r="AY516" s="104" t="str">
        <f>HYPERLINK("http://www.bing.com/maps/?lvl=14&amp;sty=h&amp;cp=34.361~44.563&amp;sp=point.34.361_44.563","Maplink3")</f>
        <v>Maplink3</v>
      </c>
    </row>
    <row r="517" spans="1:51" x14ac:dyDescent="0.2">
      <c r="A517" s="102">
        <v>25666</v>
      </c>
      <c r="B517" s="103" t="s">
        <v>32</v>
      </c>
      <c r="C517" s="103" t="s">
        <v>90</v>
      </c>
      <c r="D517" s="103" t="s">
        <v>1028</v>
      </c>
      <c r="E517" s="103" t="s">
        <v>1029</v>
      </c>
      <c r="F517" s="103">
        <v>34.0674633</v>
      </c>
      <c r="G517" s="103">
        <v>44.778459255100003</v>
      </c>
      <c r="H517" s="102">
        <v>72</v>
      </c>
      <c r="I517" s="102">
        <v>432</v>
      </c>
      <c r="J517" s="103"/>
      <c r="K517" s="103"/>
      <c r="L517" s="103"/>
      <c r="M517" s="103">
        <v>70</v>
      </c>
      <c r="N517" s="103">
        <v>2</v>
      </c>
      <c r="O517" s="103"/>
      <c r="P517" s="103"/>
      <c r="Q517" s="103"/>
      <c r="R517" s="103"/>
      <c r="S517" s="103"/>
      <c r="T517" s="103"/>
      <c r="U517" s="103"/>
      <c r="V517" s="103"/>
      <c r="W517" s="103"/>
      <c r="X517" s="103"/>
      <c r="Y517" s="103"/>
      <c r="Z517" s="103">
        <v>72</v>
      </c>
      <c r="AA517" s="103"/>
      <c r="AB517" s="103"/>
      <c r="AC517" s="103"/>
      <c r="AD517" s="103"/>
      <c r="AE517" s="103"/>
      <c r="AF517" s="103"/>
      <c r="AG517" s="103"/>
      <c r="AH517" s="103"/>
      <c r="AI517" s="103"/>
      <c r="AJ517" s="103"/>
      <c r="AK517" s="103"/>
      <c r="AL517" s="103"/>
      <c r="AM517" s="103"/>
      <c r="AN517" s="103"/>
      <c r="AO517" s="103"/>
      <c r="AP517" s="103">
        <v>72</v>
      </c>
      <c r="AQ517" s="103"/>
      <c r="AR517" s="103"/>
      <c r="AS517" s="103"/>
      <c r="AT517" s="103"/>
      <c r="AU517" s="103"/>
      <c r="AV517" s="103"/>
      <c r="AW517" s="104" t="str">
        <f>HYPERLINK("http://www.openstreetmap.org/?mlat=34.0675&amp;mlon=44.7785&amp;zoom=12#map=12/34.0675/44.7785","Maplink1")</f>
        <v>Maplink1</v>
      </c>
      <c r="AX517" s="104" t="str">
        <f>HYPERLINK("https://www.google.iq/maps/search/+34.0675,44.7785/@34.0675,44.7785,14z?hl=en","Maplink2")</f>
        <v>Maplink2</v>
      </c>
      <c r="AY517" s="104" t="str">
        <f>HYPERLINK("http://www.bing.com/maps/?lvl=14&amp;sty=h&amp;cp=34.0675~44.7785&amp;sp=point.34.0675_44.7785","Maplink3")</f>
        <v>Maplink3</v>
      </c>
    </row>
    <row r="518" spans="1:51" x14ac:dyDescent="0.2">
      <c r="A518" s="102">
        <v>25672</v>
      </c>
      <c r="B518" s="103" t="s">
        <v>32</v>
      </c>
      <c r="C518" s="103" t="s">
        <v>90</v>
      </c>
      <c r="D518" s="103" t="s">
        <v>1030</v>
      </c>
      <c r="E518" s="103" t="s">
        <v>1031</v>
      </c>
      <c r="F518" s="103">
        <v>34.121221995500001</v>
      </c>
      <c r="G518" s="103">
        <v>44.769608804800001</v>
      </c>
      <c r="H518" s="102">
        <v>240</v>
      </c>
      <c r="I518" s="102">
        <v>1440</v>
      </c>
      <c r="J518" s="103"/>
      <c r="K518" s="103"/>
      <c r="L518" s="103"/>
      <c r="M518" s="103">
        <v>240</v>
      </c>
      <c r="N518" s="103"/>
      <c r="O518" s="103"/>
      <c r="P518" s="103"/>
      <c r="Q518" s="103"/>
      <c r="R518" s="103"/>
      <c r="S518" s="103"/>
      <c r="T518" s="103"/>
      <c r="U518" s="103"/>
      <c r="V518" s="103"/>
      <c r="W518" s="103"/>
      <c r="X518" s="103"/>
      <c r="Y518" s="103"/>
      <c r="Z518" s="103">
        <v>200</v>
      </c>
      <c r="AA518" s="103"/>
      <c r="AB518" s="103"/>
      <c r="AC518" s="103">
        <v>20</v>
      </c>
      <c r="AD518" s="103"/>
      <c r="AE518" s="103"/>
      <c r="AF518" s="103"/>
      <c r="AG518" s="103"/>
      <c r="AH518" s="103"/>
      <c r="AI518" s="103"/>
      <c r="AJ518" s="103">
        <v>20</v>
      </c>
      <c r="AK518" s="103"/>
      <c r="AL518" s="103"/>
      <c r="AM518" s="103"/>
      <c r="AN518" s="103"/>
      <c r="AO518" s="103"/>
      <c r="AP518" s="103">
        <v>240</v>
      </c>
      <c r="AQ518" s="103"/>
      <c r="AR518" s="103"/>
      <c r="AS518" s="103"/>
      <c r="AT518" s="103"/>
      <c r="AU518" s="103"/>
      <c r="AV518" s="103"/>
      <c r="AW518" s="104" t="str">
        <f>HYPERLINK("http://www.openstreetmap.org/?mlat=34.1212&amp;mlon=44.7696&amp;zoom=12#map=12/34.1212/44.7696","Maplink1")</f>
        <v>Maplink1</v>
      </c>
      <c r="AX518" s="104" t="str">
        <f>HYPERLINK("https://www.google.iq/maps/search/+34.1212,44.7696/@34.1212,44.7696,14z?hl=en","Maplink2")</f>
        <v>Maplink2</v>
      </c>
      <c r="AY518" s="104" t="str">
        <f>HYPERLINK("http://www.bing.com/maps/?lvl=14&amp;sty=h&amp;cp=34.1212~44.7696&amp;sp=point.34.1212_44.7696","Maplink3")</f>
        <v>Maplink3</v>
      </c>
    </row>
    <row r="519" spans="1:51" x14ac:dyDescent="0.2">
      <c r="A519" s="102">
        <v>25677</v>
      </c>
      <c r="B519" s="103" t="s">
        <v>32</v>
      </c>
      <c r="C519" s="103" t="s">
        <v>90</v>
      </c>
      <c r="D519" s="103" t="s">
        <v>1032</v>
      </c>
      <c r="E519" s="103" t="s">
        <v>1033</v>
      </c>
      <c r="F519" s="103">
        <v>34.039016020200002</v>
      </c>
      <c r="G519" s="103">
        <v>44.883329268399997</v>
      </c>
      <c r="H519" s="102">
        <v>127</v>
      </c>
      <c r="I519" s="102">
        <v>762</v>
      </c>
      <c r="J519" s="103"/>
      <c r="K519" s="103"/>
      <c r="L519" s="103"/>
      <c r="M519" s="103">
        <v>127</v>
      </c>
      <c r="N519" s="103"/>
      <c r="O519" s="103"/>
      <c r="P519" s="103"/>
      <c r="Q519" s="103"/>
      <c r="R519" s="103"/>
      <c r="S519" s="103"/>
      <c r="T519" s="103"/>
      <c r="U519" s="103"/>
      <c r="V519" s="103"/>
      <c r="W519" s="103"/>
      <c r="X519" s="103"/>
      <c r="Y519" s="103"/>
      <c r="Z519" s="103">
        <v>117</v>
      </c>
      <c r="AA519" s="103"/>
      <c r="AB519" s="103"/>
      <c r="AC519" s="103">
        <v>10</v>
      </c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103"/>
      <c r="AO519" s="103"/>
      <c r="AP519" s="103">
        <v>127</v>
      </c>
      <c r="AQ519" s="103"/>
      <c r="AR519" s="103"/>
      <c r="AS519" s="103"/>
      <c r="AT519" s="103"/>
      <c r="AU519" s="103"/>
      <c r="AV519" s="103"/>
      <c r="AW519" s="104" t="str">
        <f>HYPERLINK("http://www.openstreetmap.org/?mlat=34.039&amp;mlon=44.8833&amp;zoom=12#map=12/34.039/44.8833","Maplink1")</f>
        <v>Maplink1</v>
      </c>
      <c r="AX519" s="104" t="str">
        <f>HYPERLINK("https://www.google.iq/maps/search/+34.039,44.8833/@34.039,44.8833,14z?hl=en","Maplink2")</f>
        <v>Maplink2</v>
      </c>
      <c r="AY519" s="104" t="str">
        <f>HYPERLINK("http://www.bing.com/maps/?lvl=14&amp;sty=h&amp;cp=34.039~44.8833&amp;sp=point.34.039_44.8833","Maplink3")</f>
        <v>Maplink3</v>
      </c>
    </row>
    <row r="520" spans="1:51" x14ac:dyDescent="0.2">
      <c r="A520" s="102">
        <v>24194</v>
      </c>
      <c r="B520" s="103" t="s">
        <v>32</v>
      </c>
      <c r="C520" s="103" t="s">
        <v>90</v>
      </c>
      <c r="D520" s="103" t="s">
        <v>1034</v>
      </c>
      <c r="E520" s="103" t="s">
        <v>1035</v>
      </c>
      <c r="F520" s="103">
        <v>34.073451327800001</v>
      </c>
      <c r="G520" s="103">
        <v>44.854866113699998</v>
      </c>
      <c r="H520" s="102">
        <v>220</v>
      </c>
      <c r="I520" s="102">
        <v>1320</v>
      </c>
      <c r="J520" s="103"/>
      <c r="K520" s="103"/>
      <c r="L520" s="103"/>
      <c r="M520" s="103">
        <v>220</v>
      </c>
      <c r="N520" s="103"/>
      <c r="O520" s="103"/>
      <c r="P520" s="103"/>
      <c r="Q520" s="103"/>
      <c r="R520" s="103"/>
      <c r="S520" s="103"/>
      <c r="T520" s="103"/>
      <c r="U520" s="103"/>
      <c r="V520" s="103"/>
      <c r="W520" s="103"/>
      <c r="X520" s="103"/>
      <c r="Y520" s="103"/>
      <c r="Z520" s="103">
        <v>181</v>
      </c>
      <c r="AA520" s="103"/>
      <c r="AB520" s="103"/>
      <c r="AC520" s="103">
        <v>39</v>
      </c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103">
        <v>220</v>
      </c>
      <c r="AO520" s="103"/>
      <c r="AP520" s="103"/>
      <c r="AQ520" s="103"/>
      <c r="AR520" s="103"/>
      <c r="AS520" s="103"/>
      <c r="AT520" s="103"/>
      <c r="AU520" s="103"/>
      <c r="AV520" s="103"/>
      <c r="AW520" s="104" t="str">
        <f>HYPERLINK("http://www.openstreetmap.org/?mlat=34.0735&amp;mlon=44.8549&amp;zoom=12#map=12/34.0735/44.8549","Maplink1")</f>
        <v>Maplink1</v>
      </c>
      <c r="AX520" s="104" t="str">
        <f>HYPERLINK("https://www.google.iq/maps/search/+34.0735,44.8549/@34.0735,44.8549,14z?hl=en","Maplink2")</f>
        <v>Maplink2</v>
      </c>
      <c r="AY520" s="104" t="str">
        <f>HYPERLINK("http://www.bing.com/maps/?lvl=14&amp;sty=h&amp;cp=34.0735~44.8549&amp;sp=point.34.0735_44.8549","Maplink3")</f>
        <v>Maplink3</v>
      </c>
    </row>
    <row r="521" spans="1:51" x14ac:dyDescent="0.2">
      <c r="A521" s="102">
        <v>25653</v>
      </c>
      <c r="B521" s="103" t="s">
        <v>32</v>
      </c>
      <c r="C521" s="103" t="s">
        <v>90</v>
      </c>
      <c r="D521" s="103" t="s">
        <v>1036</v>
      </c>
      <c r="E521" s="103" t="s">
        <v>1037</v>
      </c>
      <c r="F521" s="103">
        <v>34.077230211200003</v>
      </c>
      <c r="G521" s="103">
        <v>44.855035163099998</v>
      </c>
      <c r="H521" s="102">
        <v>262</v>
      </c>
      <c r="I521" s="102">
        <v>1572</v>
      </c>
      <c r="J521" s="103"/>
      <c r="K521" s="103"/>
      <c r="L521" s="103"/>
      <c r="M521" s="103">
        <v>262</v>
      </c>
      <c r="N521" s="103"/>
      <c r="O521" s="103"/>
      <c r="P521" s="103"/>
      <c r="Q521" s="103"/>
      <c r="R521" s="103"/>
      <c r="S521" s="103"/>
      <c r="T521" s="103"/>
      <c r="U521" s="103"/>
      <c r="V521" s="103"/>
      <c r="W521" s="103"/>
      <c r="X521" s="103"/>
      <c r="Y521" s="103"/>
      <c r="Z521" s="103">
        <v>25</v>
      </c>
      <c r="AA521" s="103"/>
      <c r="AB521" s="103"/>
      <c r="AC521" s="103">
        <v>237</v>
      </c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103">
        <v>262</v>
      </c>
      <c r="AO521" s="103"/>
      <c r="AP521" s="103"/>
      <c r="AQ521" s="103"/>
      <c r="AR521" s="103"/>
      <c r="AS521" s="103"/>
      <c r="AT521" s="103"/>
      <c r="AU521" s="103"/>
      <c r="AV521" s="103"/>
      <c r="AW521" s="104" t="str">
        <f>HYPERLINK("http://www.openstreetmap.org/?mlat=34.0772&amp;mlon=44.855&amp;zoom=12#map=12/34.0772/44.855","Maplink1")</f>
        <v>Maplink1</v>
      </c>
      <c r="AX521" s="104" t="str">
        <f>HYPERLINK("https://www.google.iq/maps/search/+34.0772,44.855/@34.0772,44.855,14z?hl=en","Maplink2")</f>
        <v>Maplink2</v>
      </c>
      <c r="AY521" s="104" t="str">
        <f>HYPERLINK("http://www.bing.com/maps/?lvl=14&amp;sty=h&amp;cp=34.0772~44.855&amp;sp=point.34.0772_44.855","Maplink3")</f>
        <v>Maplink3</v>
      </c>
    </row>
    <row r="522" spans="1:51" x14ac:dyDescent="0.2">
      <c r="A522" s="102">
        <v>21161</v>
      </c>
      <c r="B522" s="103" t="s">
        <v>32</v>
      </c>
      <c r="C522" s="103" t="s">
        <v>90</v>
      </c>
      <c r="D522" s="103" t="s">
        <v>1129</v>
      </c>
      <c r="E522" s="103" t="s">
        <v>1130</v>
      </c>
      <c r="F522" s="103">
        <v>34.219675264300001</v>
      </c>
      <c r="G522" s="103">
        <v>44.483669690900001</v>
      </c>
      <c r="H522" s="102">
        <v>125</v>
      </c>
      <c r="I522" s="102">
        <v>750</v>
      </c>
      <c r="J522" s="103"/>
      <c r="K522" s="103"/>
      <c r="L522" s="103"/>
      <c r="M522" s="103">
        <v>110</v>
      </c>
      <c r="N522" s="103">
        <v>15</v>
      </c>
      <c r="O522" s="103"/>
      <c r="P522" s="103"/>
      <c r="Q522" s="103"/>
      <c r="R522" s="103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>
        <v>125</v>
      </c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103">
        <v>125</v>
      </c>
      <c r="AO522" s="103"/>
      <c r="AP522" s="103"/>
      <c r="AQ522" s="103"/>
      <c r="AR522" s="103"/>
      <c r="AS522" s="103"/>
      <c r="AT522" s="103"/>
      <c r="AU522" s="103"/>
      <c r="AV522" s="103"/>
      <c r="AW522" s="104" t="str">
        <f>HYPERLINK("http://www.openstreetmap.org/?mlat=34.2197&amp;mlon=44.4837&amp;zoom=12#map=12/34.2197/44.4837","Maplink1")</f>
        <v>Maplink1</v>
      </c>
      <c r="AX522" s="104" t="str">
        <f>HYPERLINK("https://www.google.iq/maps/search/+34.2197,44.4837/@34.2197,44.4837,14z?hl=en","Maplink2")</f>
        <v>Maplink2</v>
      </c>
      <c r="AY522" s="104" t="str">
        <f>HYPERLINK("http://www.bing.com/maps/?lvl=14&amp;sty=h&amp;cp=34.2197~44.4837&amp;sp=point.34.2197_44.4837","Maplink3")</f>
        <v>Maplink3</v>
      </c>
    </row>
    <row r="523" spans="1:51" x14ac:dyDescent="0.2">
      <c r="A523" s="102">
        <v>27172</v>
      </c>
      <c r="B523" s="103" t="s">
        <v>32</v>
      </c>
      <c r="C523" s="103" t="s">
        <v>90</v>
      </c>
      <c r="D523" s="103" t="s">
        <v>1131</v>
      </c>
      <c r="E523" s="103" t="s">
        <v>1132</v>
      </c>
      <c r="F523" s="103">
        <v>34.092379982799997</v>
      </c>
      <c r="G523" s="103">
        <v>44.421729038300001</v>
      </c>
      <c r="H523" s="102">
        <v>15</v>
      </c>
      <c r="I523" s="102">
        <v>90</v>
      </c>
      <c r="J523" s="103"/>
      <c r="K523" s="103"/>
      <c r="L523" s="103"/>
      <c r="M523" s="103">
        <v>14</v>
      </c>
      <c r="N523" s="103">
        <v>1</v>
      </c>
      <c r="O523" s="103"/>
      <c r="P523" s="103"/>
      <c r="Q523" s="103"/>
      <c r="R523" s="103"/>
      <c r="S523" s="103"/>
      <c r="T523" s="103"/>
      <c r="U523" s="103"/>
      <c r="V523" s="103"/>
      <c r="W523" s="103"/>
      <c r="X523" s="103"/>
      <c r="Y523" s="103"/>
      <c r="Z523" s="103"/>
      <c r="AA523" s="103"/>
      <c r="AB523" s="103"/>
      <c r="AC523" s="103">
        <v>15</v>
      </c>
      <c r="AD523" s="103"/>
      <c r="AE523" s="103"/>
      <c r="AF523" s="103"/>
      <c r="AG523" s="103"/>
      <c r="AH523" s="103"/>
      <c r="AI523" s="103"/>
      <c r="AJ523" s="103"/>
      <c r="AK523" s="103"/>
      <c r="AL523" s="103"/>
      <c r="AM523" s="103"/>
      <c r="AN523" s="103">
        <v>15</v>
      </c>
      <c r="AO523" s="103"/>
      <c r="AP523" s="103"/>
      <c r="AQ523" s="103"/>
      <c r="AR523" s="103"/>
      <c r="AS523" s="103"/>
      <c r="AT523" s="103"/>
      <c r="AU523" s="103"/>
      <c r="AV523" s="103"/>
      <c r="AW523" s="104" t="str">
        <f>HYPERLINK("http://www.openstreetmap.org/?mlat=34.0924&amp;mlon=44.4217&amp;zoom=12#map=12/34.0924/44.4217","Maplink1")</f>
        <v>Maplink1</v>
      </c>
      <c r="AX523" s="104" t="str">
        <f>HYPERLINK("https://www.google.iq/maps/search/+34.0924,44.4217/@34.0924,44.4217,14z?hl=en","Maplink2")</f>
        <v>Maplink2</v>
      </c>
      <c r="AY523" s="104" t="str">
        <f>HYPERLINK("http://www.bing.com/maps/?lvl=14&amp;sty=h&amp;cp=34.0924~44.4217&amp;sp=point.34.0924_44.4217","Maplink3")</f>
        <v>Maplink3</v>
      </c>
    </row>
    <row r="524" spans="1:51" x14ac:dyDescent="0.2">
      <c r="A524" s="102">
        <v>27161</v>
      </c>
      <c r="B524" s="103" t="s">
        <v>32</v>
      </c>
      <c r="C524" s="103" t="s">
        <v>90</v>
      </c>
      <c r="D524" s="103" t="s">
        <v>1133</v>
      </c>
      <c r="E524" s="103" t="s">
        <v>1134</v>
      </c>
      <c r="F524" s="103">
        <v>34.360361213799997</v>
      </c>
      <c r="G524" s="103">
        <v>44.610483662500002</v>
      </c>
      <c r="H524" s="102">
        <v>101</v>
      </c>
      <c r="I524" s="102">
        <v>606</v>
      </c>
      <c r="J524" s="103"/>
      <c r="K524" s="103"/>
      <c r="L524" s="103"/>
      <c r="M524" s="103">
        <v>60</v>
      </c>
      <c r="N524" s="103">
        <v>41</v>
      </c>
      <c r="O524" s="103"/>
      <c r="P524" s="103"/>
      <c r="Q524" s="103"/>
      <c r="R524" s="103"/>
      <c r="S524" s="103"/>
      <c r="T524" s="103"/>
      <c r="U524" s="103"/>
      <c r="V524" s="103"/>
      <c r="W524" s="103"/>
      <c r="X524" s="103"/>
      <c r="Y524" s="103"/>
      <c r="Z524" s="103"/>
      <c r="AA524" s="103"/>
      <c r="AB524" s="103"/>
      <c r="AC524" s="103">
        <v>101</v>
      </c>
      <c r="AD524" s="103"/>
      <c r="AE524" s="103"/>
      <c r="AF524" s="103"/>
      <c r="AG524" s="103"/>
      <c r="AH524" s="103"/>
      <c r="AI524" s="103"/>
      <c r="AJ524" s="103"/>
      <c r="AK524" s="103"/>
      <c r="AL524" s="103"/>
      <c r="AM524" s="103"/>
      <c r="AN524" s="103">
        <v>101</v>
      </c>
      <c r="AO524" s="103"/>
      <c r="AP524" s="103"/>
      <c r="AQ524" s="103"/>
      <c r="AR524" s="103"/>
      <c r="AS524" s="103"/>
      <c r="AT524" s="103"/>
      <c r="AU524" s="103"/>
      <c r="AV524" s="103"/>
      <c r="AW524" s="104" t="str">
        <f>HYPERLINK("http://www.openstreetmap.org/?mlat=34.3604&amp;mlon=44.6105&amp;zoom=12#map=12/34.3604/44.6105","Maplink1")</f>
        <v>Maplink1</v>
      </c>
      <c r="AX524" s="104" t="str">
        <f>HYPERLINK("https://www.google.iq/maps/search/+34.3604,44.6105/@34.3604,44.6105,14z?hl=en","Maplink2")</f>
        <v>Maplink2</v>
      </c>
      <c r="AY524" s="104" t="str">
        <f>HYPERLINK("http://www.bing.com/maps/?lvl=14&amp;sty=h&amp;cp=34.3604~44.6105&amp;sp=point.34.3604_44.6105","Maplink3")</f>
        <v>Maplink3</v>
      </c>
    </row>
    <row r="525" spans="1:51" x14ac:dyDescent="0.2">
      <c r="A525" s="102">
        <v>28469</v>
      </c>
      <c r="B525" s="103" t="s">
        <v>32</v>
      </c>
      <c r="C525" s="103" t="s">
        <v>90</v>
      </c>
      <c r="D525" s="103" t="s">
        <v>1135</v>
      </c>
      <c r="E525" s="103" t="s">
        <v>1136</v>
      </c>
      <c r="F525" s="103">
        <v>34.278477549999998</v>
      </c>
      <c r="G525" s="103">
        <v>44.562473158099998</v>
      </c>
      <c r="H525" s="102">
        <v>134</v>
      </c>
      <c r="I525" s="102">
        <v>804</v>
      </c>
      <c r="J525" s="103"/>
      <c r="K525" s="103"/>
      <c r="L525" s="103"/>
      <c r="M525" s="103">
        <v>132</v>
      </c>
      <c r="N525" s="103">
        <v>2</v>
      </c>
      <c r="O525" s="103"/>
      <c r="P525" s="103"/>
      <c r="Q525" s="103"/>
      <c r="R525" s="103"/>
      <c r="S525" s="103"/>
      <c r="T525" s="103"/>
      <c r="U525" s="103"/>
      <c r="V525" s="103"/>
      <c r="W525" s="103"/>
      <c r="X525" s="103"/>
      <c r="Y525" s="103"/>
      <c r="Z525" s="103">
        <v>92</v>
      </c>
      <c r="AA525" s="103"/>
      <c r="AB525" s="103"/>
      <c r="AC525" s="103">
        <v>42</v>
      </c>
      <c r="AD525" s="103"/>
      <c r="AE525" s="103"/>
      <c r="AF525" s="103"/>
      <c r="AG525" s="103"/>
      <c r="AH525" s="103"/>
      <c r="AI525" s="103"/>
      <c r="AJ525" s="103"/>
      <c r="AK525" s="103"/>
      <c r="AL525" s="103"/>
      <c r="AM525" s="103"/>
      <c r="AN525" s="103">
        <v>134</v>
      </c>
      <c r="AO525" s="103"/>
      <c r="AP525" s="103"/>
      <c r="AQ525" s="103"/>
      <c r="AR525" s="103"/>
      <c r="AS525" s="103"/>
      <c r="AT525" s="103"/>
      <c r="AU525" s="103"/>
      <c r="AV525" s="103"/>
      <c r="AW525" s="104" t="str">
        <f>HYPERLINK("http://www.openstreetmap.org/?mlat=34.2785&amp;mlon=44.5625&amp;zoom=12#map=12/34.2785/44.5625","Maplink1")</f>
        <v>Maplink1</v>
      </c>
      <c r="AX525" s="104" t="str">
        <f>HYPERLINK("https://www.google.iq/maps/search/+34.2785,44.5625/@34.2785,44.5625,14z?hl=en","Maplink2")</f>
        <v>Maplink2</v>
      </c>
      <c r="AY525" s="104" t="str">
        <f>HYPERLINK("http://www.bing.com/maps/?lvl=14&amp;sty=h&amp;cp=34.2785~44.5625&amp;sp=point.34.2785_44.5625","Maplink3")</f>
        <v>Maplink3</v>
      </c>
    </row>
    <row r="526" spans="1:51" x14ac:dyDescent="0.2">
      <c r="A526" s="102">
        <v>11204</v>
      </c>
      <c r="B526" s="103" t="s">
        <v>32</v>
      </c>
      <c r="C526" s="103" t="s">
        <v>90</v>
      </c>
      <c r="D526" s="103" t="s">
        <v>1137</v>
      </c>
      <c r="E526" s="103" t="s">
        <v>1138</v>
      </c>
      <c r="F526" s="103">
        <v>34.268907679999998</v>
      </c>
      <c r="G526" s="103">
        <v>44.537654160599999</v>
      </c>
      <c r="H526" s="102">
        <v>81</v>
      </c>
      <c r="I526" s="102">
        <v>486</v>
      </c>
      <c r="J526" s="103"/>
      <c r="K526" s="103"/>
      <c r="L526" s="103"/>
      <c r="M526" s="103">
        <v>71</v>
      </c>
      <c r="N526" s="103">
        <v>10</v>
      </c>
      <c r="O526" s="103"/>
      <c r="P526" s="103"/>
      <c r="Q526" s="103"/>
      <c r="R526" s="103"/>
      <c r="S526" s="103"/>
      <c r="T526" s="103"/>
      <c r="U526" s="103"/>
      <c r="V526" s="103"/>
      <c r="W526" s="103"/>
      <c r="X526" s="103"/>
      <c r="Y526" s="103"/>
      <c r="Z526" s="103">
        <v>28</v>
      </c>
      <c r="AA526" s="103"/>
      <c r="AB526" s="103"/>
      <c r="AC526" s="103">
        <v>46</v>
      </c>
      <c r="AD526" s="103"/>
      <c r="AE526" s="103"/>
      <c r="AF526" s="103"/>
      <c r="AG526" s="103"/>
      <c r="AH526" s="103"/>
      <c r="AI526" s="103"/>
      <c r="AJ526" s="103">
        <v>7</v>
      </c>
      <c r="AK526" s="103"/>
      <c r="AL526" s="103"/>
      <c r="AM526" s="103"/>
      <c r="AN526" s="103">
        <v>81</v>
      </c>
      <c r="AO526" s="103"/>
      <c r="AP526" s="103"/>
      <c r="AQ526" s="103"/>
      <c r="AR526" s="103"/>
      <c r="AS526" s="103"/>
      <c r="AT526" s="103"/>
      <c r="AU526" s="103"/>
      <c r="AV526" s="103"/>
      <c r="AW526" s="104" t="str">
        <f>HYPERLINK("http://www.openstreetmap.org/?mlat=34.2689&amp;mlon=44.5377&amp;zoom=12#map=12/34.2689/44.5377","Maplink1")</f>
        <v>Maplink1</v>
      </c>
      <c r="AX526" s="104" t="str">
        <f>HYPERLINK("https://www.google.iq/maps/search/+34.2689,44.5377/@34.2689,44.5377,14z?hl=en","Maplink2")</f>
        <v>Maplink2</v>
      </c>
      <c r="AY526" s="104" t="str">
        <f>HYPERLINK("http://www.bing.com/maps/?lvl=14&amp;sty=h&amp;cp=34.2689~44.5377&amp;sp=point.34.2689_44.5377","Maplink3")</f>
        <v>Maplink3</v>
      </c>
    </row>
    <row r="527" spans="1:51" x14ac:dyDescent="0.2">
      <c r="A527" s="102">
        <v>26055</v>
      </c>
      <c r="B527" s="103" t="s">
        <v>32</v>
      </c>
      <c r="C527" s="103" t="s">
        <v>90</v>
      </c>
      <c r="D527" s="103" t="s">
        <v>1081</v>
      </c>
      <c r="E527" s="103" t="s">
        <v>1082</v>
      </c>
      <c r="F527" s="103">
        <v>34.133238177400003</v>
      </c>
      <c r="G527" s="103">
        <v>44.859771526899998</v>
      </c>
      <c r="H527" s="102">
        <v>95</v>
      </c>
      <c r="I527" s="102">
        <v>570</v>
      </c>
      <c r="J527" s="103"/>
      <c r="K527" s="103"/>
      <c r="L527" s="103"/>
      <c r="M527" s="103">
        <v>95</v>
      </c>
      <c r="N527" s="103"/>
      <c r="O527" s="103"/>
      <c r="P527" s="103"/>
      <c r="Q527" s="103"/>
      <c r="R527" s="103"/>
      <c r="S527" s="103"/>
      <c r="T527" s="103"/>
      <c r="U527" s="103"/>
      <c r="V527" s="103"/>
      <c r="W527" s="103"/>
      <c r="X527" s="103"/>
      <c r="Y527" s="103"/>
      <c r="Z527" s="103">
        <v>95</v>
      </c>
      <c r="AA527" s="103"/>
      <c r="AB527" s="103"/>
      <c r="AC527" s="103"/>
      <c r="AD527" s="103"/>
      <c r="AE527" s="103"/>
      <c r="AF527" s="103"/>
      <c r="AG527" s="103"/>
      <c r="AH527" s="103"/>
      <c r="AI527" s="103"/>
      <c r="AJ527" s="103"/>
      <c r="AK527" s="103"/>
      <c r="AL527" s="103"/>
      <c r="AM527" s="103"/>
      <c r="AN527" s="103">
        <v>95</v>
      </c>
      <c r="AO527" s="103"/>
      <c r="AP527" s="103"/>
      <c r="AQ527" s="103"/>
      <c r="AR527" s="103"/>
      <c r="AS527" s="103"/>
      <c r="AT527" s="103"/>
      <c r="AU527" s="103"/>
      <c r="AV527" s="103"/>
      <c r="AW527" s="104" t="str">
        <f>HYPERLINK("http://www.openstreetmap.org/?mlat=34.1332&amp;mlon=44.8598&amp;zoom=12#map=12/34.1332/44.8598","Maplink1")</f>
        <v>Maplink1</v>
      </c>
      <c r="AX527" s="104" t="str">
        <f>HYPERLINK("https://www.google.iq/maps/search/+34.1332,44.8598/@34.1332,44.8598,14z?hl=en","Maplink2")</f>
        <v>Maplink2</v>
      </c>
      <c r="AY527" s="104" t="str">
        <f>HYPERLINK("http://www.bing.com/maps/?lvl=14&amp;sty=h&amp;cp=34.1332~44.8598&amp;sp=point.34.1332_44.8598","Maplink3")</f>
        <v>Maplink3</v>
      </c>
    </row>
    <row r="528" spans="1:51" x14ac:dyDescent="0.2">
      <c r="A528" s="102">
        <v>25806</v>
      </c>
      <c r="B528" s="103" t="s">
        <v>32</v>
      </c>
      <c r="C528" s="103" t="s">
        <v>90</v>
      </c>
      <c r="D528" s="103" t="s">
        <v>1083</v>
      </c>
      <c r="E528" s="103" t="s">
        <v>1084</v>
      </c>
      <c r="F528" s="103">
        <v>34.054703032100001</v>
      </c>
      <c r="G528" s="103">
        <v>44.886509755200002</v>
      </c>
      <c r="H528" s="102">
        <v>28</v>
      </c>
      <c r="I528" s="102">
        <v>168</v>
      </c>
      <c r="J528" s="103"/>
      <c r="K528" s="103"/>
      <c r="L528" s="103"/>
      <c r="M528" s="103">
        <v>28</v>
      </c>
      <c r="N528" s="103"/>
      <c r="O528" s="103"/>
      <c r="P528" s="103"/>
      <c r="Q528" s="103"/>
      <c r="R528" s="103"/>
      <c r="S528" s="103"/>
      <c r="T528" s="103"/>
      <c r="U528" s="103"/>
      <c r="V528" s="103"/>
      <c r="W528" s="103"/>
      <c r="X528" s="103"/>
      <c r="Y528" s="103"/>
      <c r="Z528" s="103">
        <v>28</v>
      </c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103"/>
      <c r="AN528" s="103">
        <v>28</v>
      </c>
      <c r="AO528" s="103"/>
      <c r="AP528" s="103"/>
      <c r="AQ528" s="103"/>
      <c r="AR528" s="103"/>
      <c r="AS528" s="103"/>
      <c r="AT528" s="103"/>
      <c r="AU528" s="103"/>
      <c r="AV528" s="103"/>
      <c r="AW528" s="104" t="str">
        <f>HYPERLINK("http://www.openstreetmap.org/?mlat=34.0547&amp;mlon=44.8865&amp;zoom=12#map=12/34.0547/44.8865","Maplink1")</f>
        <v>Maplink1</v>
      </c>
      <c r="AX528" s="104" t="str">
        <f>HYPERLINK("https://www.google.iq/maps/search/+34.0547,44.8865/@34.0547,44.8865,14z?hl=en","Maplink2")</f>
        <v>Maplink2</v>
      </c>
      <c r="AY528" s="104" t="str">
        <f>HYPERLINK("http://www.bing.com/maps/?lvl=14&amp;sty=h&amp;cp=34.0547~44.8865&amp;sp=point.34.0547_44.8865","Maplink3")</f>
        <v>Maplink3</v>
      </c>
    </row>
    <row r="529" spans="1:51" x14ac:dyDescent="0.2">
      <c r="A529" s="102">
        <v>27174</v>
      </c>
      <c r="B529" s="103" t="s">
        <v>32</v>
      </c>
      <c r="C529" s="103" t="s">
        <v>90</v>
      </c>
      <c r="D529" s="103" t="s">
        <v>1085</v>
      </c>
      <c r="E529" s="103" t="s">
        <v>1086</v>
      </c>
      <c r="F529" s="103">
        <v>34.040211939999999</v>
      </c>
      <c r="G529" s="103">
        <v>44.372493300800002</v>
      </c>
      <c r="H529" s="102">
        <v>140</v>
      </c>
      <c r="I529" s="102">
        <v>840</v>
      </c>
      <c r="J529" s="103"/>
      <c r="K529" s="103"/>
      <c r="L529" s="103"/>
      <c r="M529" s="103">
        <v>107</v>
      </c>
      <c r="N529" s="103">
        <v>33</v>
      </c>
      <c r="O529" s="103"/>
      <c r="P529" s="103"/>
      <c r="Q529" s="103"/>
      <c r="R529" s="103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>
        <v>140</v>
      </c>
      <c r="AD529" s="103"/>
      <c r="AE529" s="103"/>
      <c r="AF529" s="103"/>
      <c r="AG529" s="103"/>
      <c r="AH529" s="103"/>
      <c r="AI529" s="103"/>
      <c r="AJ529" s="103"/>
      <c r="AK529" s="103"/>
      <c r="AL529" s="103"/>
      <c r="AM529" s="103"/>
      <c r="AN529" s="103">
        <v>140</v>
      </c>
      <c r="AO529" s="103"/>
      <c r="AP529" s="103"/>
      <c r="AQ529" s="103"/>
      <c r="AR529" s="103"/>
      <c r="AS529" s="103"/>
      <c r="AT529" s="103"/>
      <c r="AU529" s="103"/>
      <c r="AV529" s="103"/>
      <c r="AW529" s="104" t="str">
        <f>HYPERLINK("http://www.openstreetmap.org/?mlat=34.0402&amp;mlon=44.3725&amp;zoom=12#map=12/34.0402/44.3725","Maplink1")</f>
        <v>Maplink1</v>
      </c>
      <c r="AX529" s="104" t="str">
        <f>HYPERLINK("https://www.google.iq/maps/search/+34.0402,44.3725/@34.0402,44.3725,14z?hl=en","Maplink2")</f>
        <v>Maplink2</v>
      </c>
      <c r="AY529" s="104" t="str">
        <f>HYPERLINK("http://www.bing.com/maps/?lvl=14&amp;sty=h&amp;cp=34.0402~44.3725&amp;sp=point.34.0402_44.3725","Maplink3")</f>
        <v>Maplink3</v>
      </c>
    </row>
    <row r="530" spans="1:51" x14ac:dyDescent="0.2">
      <c r="A530" s="102">
        <v>23498</v>
      </c>
      <c r="B530" s="103" t="s">
        <v>32</v>
      </c>
      <c r="C530" s="103" t="s">
        <v>90</v>
      </c>
      <c r="D530" s="103" t="s">
        <v>1087</v>
      </c>
      <c r="E530" s="103" t="s">
        <v>1088</v>
      </c>
      <c r="F530" s="103">
        <v>34.369897220799999</v>
      </c>
      <c r="G530" s="103">
        <v>44.604917013700003</v>
      </c>
      <c r="H530" s="102">
        <v>12</v>
      </c>
      <c r="I530" s="102">
        <v>72</v>
      </c>
      <c r="J530" s="103"/>
      <c r="K530" s="103"/>
      <c r="L530" s="103"/>
      <c r="M530" s="103">
        <v>10</v>
      </c>
      <c r="N530" s="103">
        <v>2</v>
      </c>
      <c r="O530" s="103"/>
      <c r="P530" s="103"/>
      <c r="Q530" s="103"/>
      <c r="R530" s="103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>
        <v>12</v>
      </c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>
        <v>12</v>
      </c>
      <c r="AO530" s="103"/>
      <c r="AP530" s="103"/>
      <c r="AQ530" s="103"/>
      <c r="AR530" s="103"/>
      <c r="AS530" s="103"/>
      <c r="AT530" s="103"/>
      <c r="AU530" s="103"/>
      <c r="AV530" s="103"/>
      <c r="AW530" s="104" t="str">
        <f>HYPERLINK("http://www.openstreetmap.org/?mlat=34.3699&amp;mlon=44.6049&amp;zoom=12#map=12/34.3699/44.6049","Maplink1")</f>
        <v>Maplink1</v>
      </c>
      <c r="AX530" s="104" t="str">
        <f>HYPERLINK("https://www.google.iq/maps/search/+34.3699,44.6049/@34.3699,44.6049,14z?hl=en","Maplink2")</f>
        <v>Maplink2</v>
      </c>
      <c r="AY530" s="104" t="str">
        <f>HYPERLINK("http://www.bing.com/maps/?lvl=14&amp;sty=h&amp;cp=34.3699~44.6049&amp;sp=point.34.3699_44.6049","Maplink3")</f>
        <v>Maplink3</v>
      </c>
    </row>
    <row r="531" spans="1:51" x14ac:dyDescent="0.2">
      <c r="A531" s="102">
        <v>27166</v>
      </c>
      <c r="B531" s="103" t="s">
        <v>32</v>
      </c>
      <c r="C531" s="103" t="s">
        <v>90</v>
      </c>
      <c r="D531" s="103" t="s">
        <v>1117</v>
      </c>
      <c r="E531" s="103" t="s">
        <v>1118</v>
      </c>
      <c r="F531" s="103">
        <v>34.1966137</v>
      </c>
      <c r="G531" s="103">
        <v>44.532292504700003</v>
      </c>
      <c r="H531" s="102">
        <v>22</v>
      </c>
      <c r="I531" s="102">
        <v>132</v>
      </c>
      <c r="J531" s="103"/>
      <c r="K531" s="103"/>
      <c r="L531" s="103"/>
      <c r="M531" s="103">
        <v>22</v>
      </c>
      <c r="N531" s="103"/>
      <c r="O531" s="103"/>
      <c r="P531" s="103"/>
      <c r="Q531" s="103"/>
      <c r="R531" s="103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>
        <v>22</v>
      </c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103">
        <v>22</v>
      </c>
      <c r="AO531" s="103"/>
      <c r="AP531" s="103"/>
      <c r="AQ531" s="103"/>
      <c r="AR531" s="103"/>
      <c r="AS531" s="103"/>
      <c r="AT531" s="103"/>
      <c r="AU531" s="103"/>
      <c r="AV531" s="103"/>
      <c r="AW531" s="104" t="str">
        <f>HYPERLINK("http://www.openstreetmap.org/?mlat=34.1966&amp;mlon=44.5323&amp;zoom=12#map=12/34.1966/44.5323","Maplink1")</f>
        <v>Maplink1</v>
      </c>
      <c r="AX531" s="104" t="str">
        <f>HYPERLINK("https://www.google.iq/maps/search/+34.1966,44.5323/@34.1966,44.5323,14z?hl=en","Maplink2")</f>
        <v>Maplink2</v>
      </c>
      <c r="AY531" s="104" t="str">
        <f>HYPERLINK("http://www.bing.com/maps/?lvl=14&amp;sty=h&amp;cp=34.1966~44.5323&amp;sp=point.34.1966_44.5323","Maplink3")</f>
        <v>Maplink3</v>
      </c>
    </row>
    <row r="532" spans="1:51" x14ac:dyDescent="0.2">
      <c r="A532" s="102">
        <v>28462</v>
      </c>
      <c r="B532" s="103" t="s">
        <v>32</v>
      </c>
      <c r="C532" s="103" t="s">
        <v>90</v>
      </c>
      <c r="D532" s="103" t="s">
        <v>1089</v>
      </c>
      <c r="E532" s="103" t="s">
        <v>1090</v>
      </c>
      <c r="F532" s="103">
        <v>34.253451541899999</v>
      </c>
      <c r="G532" s="103">
        <v>44.525713403300003</v>
      </c>
      <c r="H532" s="102">
        <v>110</v>
      </c>
      <c r="I532" s="102">
        <v>660</v>
      </c>
      <c r="J532" s="103"/>
      <c r="K532" s="103"/>
      <c r="L532" s="103"/>
      <c r="M532" s="103">
        <v>100</v>
      </c>
      <c r="N532" s="103">
        <v>10</v>
      </c>
      <c r="O532" s="103"/>
      <c r="P532" s="103"/>
      <c r="Q532" s="103"/>
      <c r="R532" s="103"/>
      <c r="S532" s="103"/>
      <c r="T532" s="103"/>
      <c r="U532" s="103"/>
      <c r="V532" s="103"/>
      <c r="W532" s="103"/>
      <c r="X532" s="103"/>
      <c r="Y532" s="103"/>
      <c r="Z532" s="103">
        <v>85</v>
      </c>
      <c r="AA532" s="103"/>
      <c r="AB532" s="103"/>
      <c r="AC532" s="103">
        <v>25</v>
      </c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103">
        <v>110</v>
      </c>
      <c r="AO532" s="103"/>
      <c r="AP532" s="103"/>
      <c r="AQ532" s="103"/>
      <c r="AR532" s="103"/>
      <c r="AS532" s="103"/>
      <c r="AT532" s="103"/>
      <c r="AU532" s="103"/>
      <c r="AV532" s="103"/>
      <c r="AW532" s="104" t="str">
        <f>HYPERLINK("http://www.openstreetmap.org/?mlat=34.2535&amp;mlon=44.5257&amp;zoom=12#map=12/34.2535/44.5257","Maplink1")</f>
        <v>Maplink1</v>
      </c>
      <c r="AX532" s="104" t="str">
        <f>HYPERLINK("https://www.google.iq/maps/search/+34.2535,44.5257/@34.2535,44.5257,14z?hl=en","Maplink2")</f>
        <v>Maplink2</v>
      </c>
      <c r="AY532" s="104" t="str">
        <f>HYPERLINK("http://www.bing.com/maps/?lvl=14&amp;sty=h&amp;cp=34.2535~44.5257&amp;sp=point.34.2535_44.5257","Maplink3")</f>
        <v>Maplink3</v>
      </c>
    </row>
    <row r="533" spans="1:51" x14ac:dyDescent="0.2">
      <c r="A533" s="102">
        <v>11487</v>
      </c>
      <c r="B533" s="103" t="s">
        <v>32</v>
      </c>
      <c r="C533" s="103" t="s">
        <v>90</v>
      </c>
      <c r="D533" s="103" t="s">
        <v>1074</v>
      </c>
      <c r="E533" s="103" t="s">
        <v>375</v>
      </c>
      <c r="F533" s="103">
        <v>34.066471383600003</v>
      </c>
      <c r="G533" s="103">
        <v>44.860475957600002</v>
      </c>
      <c r="H533" s="102">
        <v>320</v>
      </c>
      <c r="I533" s="102">
        <v>1920</v>
      </c>
      <c r="J533" s="103"/>
      <c r="K533" s="103"/>
      <c r="L533" s="103"/>
      <c r="M533" s="103">
        <v>320</v>
      </c>
      <c r="N533" s="103"/>
      <c r="O533" s="103"/>
      <c r="P533" s="103"/>
      <c r="Q533" s="103"/>
      <c r="R533" s="103"/>
      <c r="S533" s="103"/>
      <c r="T533" s="103"/>
      <c r="U533" s="103"/>
      <c r="V533" s="103"/>
      <c r="W533" s="103"/>
      <c r="X533" s="103"/>
      <c r="Y533" s="103"/>
      <c r="Z533" s="103">
        <v>263</v>
      </c>
      <c r="AA533" s="103"/>
      <c r="AB533" s="103"/>
      <c r="AC533" s="103">
        <v>57</v>
      </c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103">
        <v>320</v>
      </c>
      <c r="AO533" s="103"/>
      <c r="AP533" s="103"/>
      <c r="AQ533" s="103"/>
      <c r="AR533" s="103"/>
      <c r="AS533" s="103"/>
      <c r="AT533" s="103"/>
      <c r="AU533" s="103"/>
      <c r="AV533" s="103"/>
      <c r="AW533" s="104" t="str">
        <f>HYPERLINK("http://www.openstreetmap.org/?mlat=34.0665&amp;mlon=44.8605&amp;zoom=12#map=12/34.0665/44.8605","Maplink1")</f>
        <v>Maplink1</v>
      </c>
      <c r="AX533" s="104" t="str">
        <f>HYPERLINK("https://www.google.iq/maps/search/+34.0665,44.8605/@34.0665,44.8605,14z?hl=en","Maplink2")</f>
        <v>Maplink2</v>
      </c>
      <c r="AY533" s="104" t="str">
        <f>HYPERLINK("http://www.bing.com/maps/?lvl=14&amp;sty=h&amp;cp=34.0665~44.8605&amp;sp=point.34.0665_44.8605","Maplink3")</f>
        <v>Maplink3</v>
      </c>
    </row>
    <row r="534" spans="1:51" x14ac:dyDescent="0.2">
      <c r="A534" s="102">
        <v>25673</v>
      </c>
      <c r="B534" s="103" t="s">
        <v>32</v>
      </c>
      <c r="C534" s="103" t="s">
        <v>90</v>
      </c>
      <c r="D534" s="103" t="s">
        <v>1097</v>
      </c>
      <c r="E534" s="103" t="s">
        <v>1098</v>
      </c>
      <c r="F534" s="103">
        <v>34.05390233</v>
      </c>
      <c r="G534" s="103">
        <v>44.892346932999999</v>
      </c>
      <c r="H534" s="102">
        <v>549</v>
      </c>
      <c r="I534" s="102">
        <v>3294</v>
      </c>
      <c r="J534" s="103"/>
      <c r="K534" s="103"/>
      <c r="L534" s="103"/>
      <c r="M534" s="103">
        <v>500</v>
      </c>
      <c r="N534" s="103">
        <v>49</v>
      </c>
      <c r="O534" s="103"/>
      <c r="P534" s="103"/>
      <c r="Q534" s="103"/>
      <c r="R534" s="103"/>
      <c r="S534" s="103"/>
      <c r="T534" s="103"/>
      <c r="U534" s="103"/>
      <c r="V534" s="103"/>
      <c r="W534" s="103"/>
      <c r="X534" s="103"/>
      <c r="Y534" s="103"/>
      <c r="Z534" s="103">
        <v>349</v>
      </c>
      <c r="AA534" s="103"/>
      <c r="AB534" s="103"/>
      <c r="AC534" s="103">
        <v>100</v>
      </c>
      <c r="AD534" s="103"/>
      <c r="AE534" s="103"/>
      <c r="AF534" s="103"/>
      <c r="AG534" s="103"/>
      <c r="AH534" s="103"/>
      <c r="AI534" s="103"/>
      <c r="AJ534" s="103">
        <v>100</v>
      </c>
      <c r="AK534" s="103"/>
      <c r="AL534" s="103"/>
      <c r="AM534" s="103"/>
      <c r="AN534" s="103"/>
      <c r="AO534" s="103"/>
      <c r="AP534" s="103">
        <v>549</v>
      </c>
      <c r="AQ534" s="103"/>
      <c r="AR534" s="103"/>
      <c r="AS534" s="103"/>
      <c r="AT534" s="103"/>
      <c r="AU534" s="103"/>
      <c r="AV534" s="103"/>
      <c r="AW534" s="104" t="str">
        <f>HYPERLINK("http://www.openstreetmap.org/?mlat=34.0539&amp;mlon=44.8923&amp;zoom=12#map=12/34.0539/44.8923","Maplink1")</f>
        <v>Maplink1</v>
      </c>
      <c r="AX534" s="104" t="str">
        <f>HYPERLINK("https://www.google.iq/maps/search/+34.0539,44.8923/@34.0539,44.8923,14z?hl=en","Maplink2")</f>
        <v>Maplink2</v>
      </c>
      <c r="AY534" s="104" t="str">
        <f>HYPERLINK("http://www.bing.com/maps/?lvl=14&amp;sty=h&amp;cp=34.0539~44.8923&amp;sp=point.34.0539_44.8923","Maplink3")</f>
        <v>Maplink3</v>
      </c>
    </row>
    <row r="535" spans="1:51" x14ac:dyDescent="0.2">
      <c r="A535" s="102">
        <v>25665</v>
      </c>
      <c r="B535" s="103" t="s">
        <v>32</v>
      </c>
      <c r="C535" s="103" t="s">
        <v>90</v>
      </c>
      <c r="D535" s="103" t="s">
        <v>1161</v>
      </c>
      <c r="E535" s="103" t="s">
        <v>1162</v>
      </c>
      <c r="F535" s="103">
        <v>34.050199371300003</v>
      </c>
      <c r="G535" s="103">
        <v>44.782606844900002</v>
      </c>
      <c r="H535" s="102">
        <v>75</v>
      </c>
      <c r="I535" s="102">
        <v>450</v>
      </c>
      <c r="J535" s="103"/>
      <c r="K535" s="103"/>
      <c r="L535" s="103"/>
      <c r="M535" s="103">
        <v>75</v>
      </c>
      <c r="N535" s="103"/>
      <c r="O535" s="103"/>
      <c r="P535" s="103"/>
      <c r="Q535" s="103"/>
      <c r="R535" s="103"/>
      <c r="S535" s="103"/>
      <c r="T535" s="103"/>
      <c r="U535" s="103"/>
      <c r="V535" s="103"/>
      <c r="W535" s="103"/>
      <c r="X535" s="103"/>
      <c r="Y535" s="103"/>
      <c r="Z535" s="103">
        <v>75</v>
      </c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3"/>
      <c r="AM535" s="103"/>
      <c r="AN535" s="103">
        <v>75</v>
      </c>
      <c r="AO535" s="103"/>
      <c r="AP535" s="103"/>
      <c r="AQ535" s="103"/>
      <c r="AR535" s="103"/>
      <c r="AS535" s="103"/>
      <c r="AT535" s="103"/>
      <c r="AU535" s="103"/>
      <c r="AV535" s="103"/>
      <c r="AW535" s="104" t="str">
        <f>HYPERLINK("http://www.openstreetmap.org/?mlat=34.0502&amp;mlon=44.7826&amp;zoom=12#map=12/34.0502/44.7826","Maplink1")</f>
        <v>Maplink1</v>
      </c>
      <c r="AX535" s="104" t="str">
        <f>HYPERLINK("https://www.google.iq/maps/search/+34.0502,44.7826/@34.0502,44.7826,14z?hl=en","Maplink2")</f>
        <v>Maplink2</v>
      </c>
      <c r="AY535" s="104" t="str">
        <f>HYPERLINK("http://www.bing.com/maps/?lvl=14&amp;sty=h&amp;cp=34.0502~44.7826&amp;sp=point.34.0502_44.7826","Maplink3")</f>
        <v>Maplink3</v>
      </c>
    </row>
    <row r="536" spans="1:51" x14ac:dyDescent="0.2">
      <c r="A536" s="102">
        <v>27165</v>
      </c>
      <c r="B536" s="103" t="s">
        <v>32</v>
      </c>
      <c r="C536" s="103" t="s">
        <v>90</v>
      </c>
      <c r="D536" s="103" t="s">
        <v>1163</v>
      </c>
      <c r="E536" s="103" t="s">
        <v>1164</v>
      </c>
      <c r="F536" s="103">
        <v>34.210737369999997</v>
      </c>
      <c r="G536" s="103">
        <v>44.526868724899998</v>
      </c>
      <c r="H536" s="102">
        <v>17</v>
      </c>
      <c r="I536" s="102">
        <v>102</v>
      </c>
      <c r="J536" s="103"/>
      <c r="K536" s="103"/>
      <c r="L536" s="103"/>
      <c r="M536" s="103">
        <v>17</v>
      </c>
      <c r="N536" s="103"/>
      <c r="O536" s="103"/>
      <c r="P536" s="103"/>
      <c r="Q536" s="103"/>
      <c r="R536" s="103"/>
      <c r="S536" s="103"/>
      <c r="T536" s="103"/>
      <c r="U536" s="103"/>
      <c r="V536" s="103"/>
      <c r="W536" s="103"/>
      <c r="X536" s="103"/>
      <c r="Y536" s="103"/>
      <c r="Z536" s="103"/>
      <c r="AA536" s="103"/>
      <c r="AB536" s="103"/>
      <c r="AC536" s="103">
        <v>17</v>
      </c>
      <c r="AD536" s="103"/>
      <c r="AE536" s="103"/>
      <c r="AF536" s="103"/>
      <c r="AG536" s="103"/>
      <c r="AH536" s="103"/>
      <c r="AI536" s="103"/>
      <c r="AJ536" s="103"/>
      <c r="AK536" s="103"/>
      <c r="AL536" s="103"/>
      <c r="AM536" s="103"/>
      <c r="AN536" s="103">
        <v>17</v>
      </c>
      <c r="AO536" s="103"/>
      <c r="AP536" s="103"/>
      <c r="AQ536" s="103"/>
      <c r="AR536" s="103"/>
      <c r="AS536" s="103"/>
      <c r="AT536" s="103"/>
      <c r="AU536" s="103"/>
      <c r="AV536" s="103"/>
      <c r="AW536" s="104" t="str">
        <f>HYPERLINK("http://www.openstreetmap.org/?mlat=34.2107&amp;mlon=44.5269&amp;zoom=12#map=12/34.2107/44.5269","Maplink1")</f>
        <v>Maplink1</v>
      </c>
      <c r="AX536" s="104" t="str">
        <f>HYPERLINK("https://www.google.iq/maps/search/+34.2107,44.5269/@34.2107,44.5269,14z?hl=en","Maplink2")</f>
        <v>Maplink2</v>
      </c>
      <c r="AY536" s="104" t="str">
        <f>HYPERLINK("http://www.bing.com/maps/?lvl=14&amp;sty=h&amp;cp=34.2107~44.5269&amp;sp=point.34.2107_44.5269","Maplink3")</f>
        <v>Maplink3</v>
      </c>
    </row>
    <row r="537" spans="1:51" x14ac:dyDescent="0.2">
      <c r="A537" s="102">
        <v>27181</v>
      </c>
      <c r="B537" s="103" t="s">
        <v>32</v>
      </c>
      <c r="C537" s="103" t="s">
        <v>90</v>
      </c>
      <c r="D537" s="103" t="s">
        <v>1165</v>
      </c>
      <c r="E537" s="103" t="s">
        <v>1166</v>
      </c>
      <c r="F537" s="103">
        <v>34.137664329899998</v>
      </c>
      <c r="G537" s="103">
        <v>44.418142356799997</v>
      </c>
      <c r="H537" s="102">
        <v>20</v>
      </c>
      <c r="I537" s="102">
        <v>120</v>
      </c>
      <c r="J537" s="103"/>
      <c r="K537" s="103"/>
      <c r="L537" s="103"/>
      <c r="M537" s="103">
        <v>20</v>
      </c>
      <c r="N537" s="103"/>
      <c r="O537" s="103"/>
      <c r="P537" s="103"/>
      <c r="Q537" s="103"/>
      <c r="R537" s="103"/>
      <c r="S537" s="103"/>
      <c r="T537" s="103"/>
      <c r="U537" s="103"/>
      <c r="V537" s="103"/>
      <c r="W537" s="103"/>
      <c r="X537" s="103"/>
      <c r="Y537" s="103"/>
      <c r="Z537" s="103"/>
      <c r="AA537" s="103"/>
      <c r="AB537" s="103"/>
      <c r="AC537" s="103">
        <v>20</v>
      </c>
      <c r="AD537" s="103"/>
      <c r="AE537" s="103"/>
      <c r="AF537" s="103"/>
      <c r="AG537" s="103"/>
      <c r="AH537" s="103"/>
      <c r="AI537" s="103"/>
      <c r="AJ537" s="103"/>
      <c r="AK537" s="103"/>
      <c r="AL537" s="103"/>
      <c r="AM537" s="103"/>
      <c r="AN537" s="103">
        <v>20</v>
      </c>
      <c r="AO537" s="103"/>
      <c r="AP537" s="103"/>
      <c r="AQ537" s="103"/>
      <c r="AR537" s="103"/>
      <c r="AS537" s="103"/>
      <c r="AT537" s="103"/>
      <c r="AU537" s="103"/>
      <c r="AV537" s="103"/>
      <c r="AW537" s="104" t="str">
        <f>HYPERLINK("http://www.openstreetmap.org/?mlat=34.1377&amp;mlon=44.4181&amp;zoom=12#map=12/34.1377/44.4181","Maplink1")</f>
        <v>Maplink1</v>
      </c>
      <c r="AX537" s="104" t="str">
        <f>HYPERLINK("https://www.google.iq/maps/search/+34.1377,44.4181/@34.1377,44.4181,14z?hl=en","Maplink2")</f>
        <v>Maplink2</v>
      </c>
      <c r="AY537" s="104" t="str">
        <f>HYPERLINK("http://www.bing.com/maps/?lvl=14&amp;sty=h&amp;cp=34.1377~44.4181&amp;sp=point.34.1377_44.4181","Maplink3")</f>
        <v>Maplink3</v>
      </c>
    </row>
    <row r="538" spans="1:51" x14ac:dyDescent="0.2">
      <c r="A538" s="102">
        <v>27154</v>
      </c>
      <c r="B538" s="103" t="s">
        <v>32</v>
      </c>
      <c r="C538" s="103" t="s">
        <v>90</v>
      </c>
      <c r="D538" s="103" t="s">
        <v>1167</v>
      </c>
      <c r="E538" s="103" t="s">
        <v>1168</v>
      </c>
      <c r="F538" s="103">
        <v>34.1223563</v>
      </c>
      <c r="G538" s="103">
        <v>44.597635972900001</v>
      </c>
      <c r="H538" s="102">
        <v>81</v>
      </c>
      <c r="I538" s="102">
        <v>486</v>
      </c>
      <c r="J538" s="103"/>
      <c r="K538" s="103"/>
      <c r="L538" s="103"/>
      <c r="M538" s="103">
        <v>64</v>
      </c>
      <c r="N538" s="103">
        <v>17</v>
      </c>
      <c r="O538" s="103"/>
      <c r="P538" s="103"/>
      <c r="Q538" s="103"/>
      <c r="R538" s="103"/>
      <c r="S538" s="103"/>
      <c r="T538" s="103"/>
      <c r="U538" s="103"/>
      <c r="V538" s="103"/>
      <c r="W538" s="103"/>
      <c r="X538" s="103"/>
      <c r="Y538" s="103"/>
      <c r="Z538" s="103">
        <v>34</v>
      </c>
      <c r="AA538" s="103"/>
      <c r="AB538" s="103"/>
      <c r="AC538" s="103">
        <v>47</v>
      </c>
      <c r="AD538" s="103"/>
      <c r="AE538" s="103"/>
      <c r="AF538" s="103"/>
      <c r="AG538" s="103"/>
      <c r="AH538" s="103"/>
      <c r="AI538" s="103"/>
      <c r="AJ538" s="103"/>
      <c r="AK538" s="103"/>
      <c r="AL538" s="103"/>
      <c r="AM538" s="103"/>
      <c r="AN538" s="103">
        <v>81</v>
      </c>
      <c r="AO538" s="103"/>
      <c r="AP538" s="103"/>
      <c r="AQ538" s="103"/>
      <c r="AR538" s="103"/>
      <c r="AS538" s="103"/>
      <c r="AT538" s="103"/>
      <c r="AU538" s="103"/>
      <c r="AV538" s="103"/>
      <c r="AW538" s="104" t="str">
        <f>HYPERLINK("http://www.openstreetmap.org/?mlat=34.1224&amp;mlon=44.5976&amp;zoom=12#map=12/34.1224/44.5976","Maplink1")</f>
        <v>Maplink1</v>
      </c>
      <c r="AX538" s="104" t="str">
        <f>HYPERLINK("https://www.google.iq/maps/search/+34.1224,44.5976/@34.1224,44.5976,14z?hl=en","Maplink2")</f>
        <v>Maplink2</v>
      </c>
      <c r="AY538" s="104" t="str">
        <f>HYPERLINK("http://www.bing.com/maps/?lvl=14&amp;sty=h&amp;cp=34.1224~44.5976&amp;sp=point.34.1224_44.5976","Maplink3")</f>
        <v>Maplink3</v>
      </c>
    </row>
    <row r="539" spans="1:51" x14ac:dyDescent="0.2">
      <c r="A539" s="102">
        <v>25825</v>
      </c>
      <c r="B539" s="103" t="s">
        <v>32</v>
      </c>
      <c r="C539" s="103" t="s">
        <v>91</v>
      </c>
      <c r="D539" s="103" t="s">
        <v>1232</v>
      </c>
      <c r="E539" s="103" t="s">
        <v>1233</v>
      </c>
      <c r="F539" s="103">
        <v>33.992199399999997</v>
      </c>
      <c r="G539" s="103">
        <v>44.876932099999998</v>
      </c>
      <c r="H539" s="102">
        <v>56</v>
      </c>
      <c r="I539" s="102">
        <v>336</v>
      </c>
      <c r="J539" s="103"/>
      <c r="K539" s="103"/>
      <c r="L539" s="103"/>
      <c r="M539" s="103">
        <v>56</v>
      </c>
      <c r="N539" s="103"/>
      <c r="O539" s="103"/>
      <c r="P539" s="103"/>
      <c r="Q539" s="103"/>
      <c r="R539" s="103"/>
      <c r="S539" s="103"/>
      <c r="T539" s="103"/>
      <c r="U539" s="103"/>
      <c r="V539" s="103"/>
      <c r="W539" s="103"/>
      <c r="X539" s="103"/>
      <c r="Y539" s="103"/>
      <c r="Z539" s="103">
        <v>51</v>
      </c>
      <c r="AA539" s="103"/>
      <c r="AB539" s="103"/>
      <c r="AC539" s="103">
        <v>5</v>
      </c>
      <c r="AD539" s="103"/>
      <c r="AE539" s="103"/>
      <c r="AF539" s="103"/>
      <c r="AG539" s="103"/>
      <c r="AH539" s="103"/>
      <c r="AI539" s="103"/>
      <c r="AJ539" s="103"/>
      <c r="AK539" s="103"/>
      <c r="AL539" s="103"/>
      <c r="AM539" s="103"/>
      <c r="AN539" s="103">
        <v>56</v>
      </c>
      <c r="AO539" s="103"/>
      <c r="AP539" s="103"/>
      <c r="AQ539" s="103"/>
      <c r="AR539" s="103"/>
      <c r="AS539" s="103"/>
      <c r="AT539" s="103"/>
      <c r="AU539" s="103"/>
      <c r="AV539" s="103"/>
      <c r="AW539" s="104" t="str">
        <f>HYPERLINK("http://www.openstreetmap.org/?mlat=33.9922&amp;mlon=44.8769&amp;zoom=12#map=12/33.9922/44.8769","Maplink1")</f>
        <v>Maplink1</v>
      </c>
      <c r="AX539" s="104" t="str">
        <f>HYPERLINK("https://www.google.iq/maps/search/+33.9922,44.8769/@33.9922,44.8769,14z?hl=en","Maplink2")</f>
        <v>Maplink2</v>
      </c>
      <c r="AY539" s="104" t="str">
        <f>HYPERLINK("http://www.bing.com/maps/?lvl=14&amp;sty=h&amp;cp=33.9922~44.8769&amp;sp=point.33.9922_44.8769","Maplink3")</f>
        <v>Maplink3</v>
      </c>
    </row>
    <row r="540" spans="1:51" x14ac:dyDescent="0.2">
      <c r="A540" s="102">
        <v>25801</v>
      </c>
      <c r="B540" s="103" t="s">
        <v>32</v>
      </c>
      <c r="C540" s="103" t="s">
        <v>91</v>
      </c>
      <c r="D540" s="103" t="s">
        <v>1234</v>
      </c>
      <c r="E540" s="103" t="s">
        <v>1235</v>
      </c>
      <c r="F540" s="103">
        <v>33.976590000000002</v>
      </c>
      <c r="G540" s="103">
        <v>44.9321187882</v>
      </c>
      <c r="H540" s="102">
        <v>25</v>
      </c>
      <c r="I540" s="102">
        <v>150</v>
      </c>
      <c r="J540" s="103"/>
      <c r="K540" s="103"/>
      <c r="L540" s="103"/>
      <c r="M540" s="103">
        <v>20</v>
      </c>
      <c r="N540" s="103">
        <v>5</v>
      </c>
      <c r="O540" s="103"/>
      <c r="P540" s="103"/>
      <c r="Q540" s="103"/>
      <c r="R540" s="103"/>
      <c r="S540" s="103"/>
      <c r="T540" s="103"/>
      <c r="U540" s="103"/>
      <c r="V540" s="103"/>
      <c r="W540" s="103"/>
      <c r="X540" s="103"/>
      <c r="Y540" s="103"/>
      <c r="Z540" s="103">
        <v>25</v>
      </c>
      <c r="AA540" s="103"/>
      <c r="AB540" s="103"/>
      <c r="AC540" s="103"/>
      <c r="AD540" s="103"/>
      <c r="AE540" s="103"/>
      <c r="AF540" s="103"/>
      <c r="AG540" s="103"/>
      <c r="AH540" s="103"/>
      <c r="AI540" s="103"/>
      <c r="AJ540" s="103"/>
      <c r="AK540" s="103"/>
      <c r="AL540" s="103"/>
      <c r="AM540" s="103"/>
      <c r="AN540" s="103">
        <v>25</v>
      </c>
      <c r="AO540" s="103"/>
      <c r="AP540" s="103"/>
      <c r="AQ540" s="103"/>
      <c r="AR540" s="103"/>
      <c r="AS540" s="103"/>
      <c r="AT540" s="103"/>
      <c r="AU540" s="103"/>
      <c r="AV540" s="103"/>
      <c r="AW540" s="104" t="str">
        <f>HYPERLINK("http://www.openstreetmap.org/?mlat=33.9766&amp;mlon=44.9321&amp;zoom=12#map=12/33.9766/44.9321","Maplink1")</f>
        <v>Maplink1</v>
      </c>
      <c r="AX540" s="104" t="str">
        <f>HYPERLINK("https://www.google.iq/maps/search/+33.9766,44.9321/@33.9766,44.9321,14z?hl=en","Maplink2")</f>
        <v>Maplink2</v>
      </c>
      <c r="AY540" s="104" t="str">
        <f>HYPERLINK("http://www.bing.com/maps/?lvl=14&amp;sty=h&amp;cp=33.9766~44.9321&amp;sp=point.33.9766_44.9321","Maplink3")</f>
        <v>Maplink3</v>
      </c>
    </row>
    <row r="541" spans="1:51" x14ac:dyDescent="0.2">
      <c r="A541" s="102">
        <v>26115</v>
      </c>
      <c r="B541" s="103" t="s">
        <v>32</v>
      </c>
      <c r="C541" s="103" t="s">
        <v>91</v>
      </c>
      <c r="D541" s="103" t="s">
        <v>1236</v>
      </c>
      <c r="E541" s="103" t="s">
        <v>1237</v>
      </c>
      <c r="F541" s="103">
        <v>34.001574262299997</v>
      </c>
      <c r="G541" s="103">
        <v>44.932968336499997</v>
      </c>
      <c r="H541" s="102">
        <v>888</v>
      </c>
      <c r="I541" s="102">
        <v>5328</v>
      </c>
      <c r="J541" s="103"/>
      <c r="K541" s="103"/>
      <c r="L541" s="103"/>
      <c r="M541" s="103">
        <v>750</v>
      </c>
      <c r="N541" s="103">
        <v>138</v>
      </c>
      <c r="O541" s="103"/>
      <c r="P541" s="103"/>
      <c r="Q541" s="103"/>
      <c r="R541" s="103"/>
      <c r="S541" s="103"/>
      <c r="T541" s="103"/>
      <c r="U541" s="103"/>
      <c r="V541" s="103"/>
      <c r="W541" s="103"/>
      <c r="X541" s="103"/>
      <c r="Y541" s="103"/>
      <c r="Z541" s="103">
        <v>888</v>
      </c>
      <c r="AA541" s="103"/>
      <c r="AB541" s="103"/>
      <c r="AC541" s="103"/>
      <c r="AD541" s="103"/>
      <c r="AE541" s="103"/>
      <c r="AF541" s="103"/>
      <c r="AG541" s="103"/>
      <c r="AH541" s="103"/>
      <c r="AI541" s="103"/>
      <c r="AJ541" s="103"/>
      <c r="AK541" s="103"/>
      <c r="AL541" s="103"/>
      <c r="AM541" s="103"/>
      <c r="AN541" s="103"/>
      <c r="AO541" s="103"/>
      <c r="AP541" s="103">
        <v>888</v>
      </c>
      <c r="AQ541" s="103"/>
      <c r="AR541" s="103"/>
      <c r="AS541" s="103"/>
      <c r="AT541" s="103"/>
      <c r="AU541" s="103"/>
      <c r="AV541" s="103"/>
      <c r="AW541" s="104" t="str">
        <f>HYPERLINK("http://www.openstreetmap.org/?mlat=34.0016&amp;mlon=44.933&amp;zoom=12#map=12/34.0016/44.933","Maplink1")</f>
        <v>Maplink1</v>
      </c>
      <c r="AX541" s="104" t="str">
        <f>HYPERLINK("https://www.google.iq/maps/search/+34.0016,44.933/@34.0016,44.933,14z?hl=en","Maplink2")</f>
        <v>Maplink2</v>
      </c>
      <c r="AY541" s="104" t="str">
        <f>HYPERLINK("http://www.bing.com/maps/?lvl=14&amp;sty=h&amp;cp=34.0016~44.933&amp;sp=point.34.0016_44.933","Maplink3")</f>
        <v>Maplink3</v>
      </c>
    </row>
    <row r="542" spans="1:51" x14ac:dyDescent="0.2">
      <c r="A542" s="102">
        <v>25802</v>
      </c>
      <c r="B542" s="103" t="s">
        <v>32</v>
      </c>
      <c r="C542" s="103" t="s">
        <v>91</v>
      </c>
      <c r="D542" s="103" t="s">
        <v>1278</v>
      </c>
      <c r="E542" s="103" t="s">
        <v>1279</v>
      </c>
      <c r="F542" s="103">
        <v>33.981959531699999</v>
      </c>
      <c r="G542" s="103">
        <v>44.930542082199999</v>
      </c>
      <c r="H542" s="102">
        <v>20</v>
      </c>
      <c r="I542" s="102">
        <v>120</v>
      </c>
      <c r="J542" s="103"/>
      <c r="K542" s="103"/>
      <c r="L542" s="103"/>
      <c r="M542" s="103">
        <v>18</v>
      </c>
      <c r="N542" s="103">
        <v>2</v>
      </c>
      <c r="O542" s="103"/>
      <c r="P542" s="103"/>
      <c r="Q542" s="103"/>
      <c r="R542" s="103"/>
      <c r="S542" s="103"/>
      <c r="T542" s="103"/>
      <c r="U542" s="103"/>
      <c r="V542" s="103"/>
      <c r="W542" s="103"/>
      <c r="X542" s="103"/>
      <c r="Y542" s="103"/>
      <c r="Z542" s="103">
        <v>20</v>
      </c>
      <c r="AA542" s="103"/>
      <c r="AB542" s="103"/>
      <c r="AC542" s="103"/>
      <c r="AD542" s="103"/>
      <c r="AE542" s="103"/>
      <c r="AF542" s="103"/>
      <c r="AG542" s="103"/>
      <c r="AH542" s="103"/>
      <c r="AI542" s="103"/>
      <c r="AJ542" s="103"/>
      <c r="AK542" s="103"/>
      <c r="AL542" s="103"/>
      <c r="AM542" s="103"/>
      <c r="AN542" s="103">
        <v>20</v>
      </c>
      <c r="AO542" s="103"/>
      <c r="AP542" s="103"/>
      <c r="AQ542" s="103"/>
      <c r="AR542" s="103"/>
      <c r="AS542" s="103"/>
      <c r="AT542" s="103"/>
      <c r="AU542" s="103"/>
      <c r="AV542" s="103"/>
      <c r="AW542" s="104" t="str">
        <f>HYPERLINK("http://www.openstreetmap.org/?mlat=33.982&amp;mlon=44.9305&amp;zoom=12#map=12/33.982/44.9305","Maplink1")</f>
        <v>Maplink1</v>
      </c>
      <c r="AX542" s="104" t="str">
        <f>HYPERLINK("https://www.google.iq/maps/search/+33.982,44.9305/@33.982,44.9305,14z?hl=en","Maplink2")</f>
        <v>Maplink2</v>
      </c>
      <c r="AY542" s="104" t="str">
        <f>HYPERLINK("http://www.bing.com/maps/?lvl=14&amp;sty=h&amp;cp=33.982~44.9305&amp;sp=point.33.982_44.9305","Maplink3")</f>
        <v>Maplink3</v>
      </c>
    </row>
    <row r="543" spans="1:51" x14ac:dyDescent="0.2">
      <c r="A543" s="102">
        <v>29660</v>
      </c>
      <c r="B543" s="103" t="s">
        <v>32</v>
      </c>
      <c r="C543" s="103" t="s">
        <v>91</v>
      </c>
      <c r="D543" s="103" t="s">
        <v>1181</v>
      </c>
      <c r="E543" s="103" t="s">
        <v>1182</v>
      </c>
      <c r="F543" s="103">
        <v>34.031138911500001</v>
      </c>
      <c r="G543" s="103">
        <v>44.945874240599998</v>
      </c>
      <c r="H543" s="102">
        <v>64</v>
      </c>
      <c r="I543" s="102">
        <v>384</v>
      </c>
      <c r="J543" s="103"/>
      <c r="K543" s="103"/>
      <c r="L543" s="103"/>
      <c r="M543" s="103">
        <v>64</v>
      </c>
      <c r="N543" s="103"/>
      <c r="O543" s="103"/>
      <c r="P543" s="103"/>
      <c r="Q543" s="103"/>
      <c r="R543" s="103"/>
      <c r="S543" s="103"/>
      <c r="T543" s="103"/>
      <c r="U543" s="103"/>
      <c r="V543" s="103"/>
      <c r="W543" s="103"/>
      <c r="X543" s="103"/>
      <c r="Y543" s="103"/>
      <c r="Z543" s="103">
        <v>54</v>
      </c>
      <c r="AA543" s="103"/>
      <c r="AB543" s="103"/>
      <c r="AC543" s="103">
        <v>10</v>
      </c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103">
        <v>35</v>
      </c>
      <c r="AO543" s="103"/>
      <c r="AP543" s="103">
        <v>29</v>
      </c>
      <c r="AQ543" s="103"/>
      <c r="AR543" s="103"/>
      <c r="AS543" s="103"/>
      <c r="AT543" s="103"/>
      <c r="AU543" s="103"/>
      <c r="AV543" s="103"/>
      <c r="AW543" s="104" t="str">
        <f>HYPERLINK("http://www.openstreetmap.org/?mlat=34.0311&amp;mlon=44.9459&amp;zoom=12#map=12/34.0311/44.9459","Maplink1")</f>
        <v>Maplink1</v>
      </c>
      <c r="AX543" s="104" t="str">
        <f>HYPERLINK("https://www.google.iq/maps/search/+34.0311,44.9459/@34.0311,44.9459,14z?hl=en","Maplink2")</f>
        <v>Maplink2</v>
      </c>
      <c r="AY543" s="104" t="str">
        <f>HYPERLINK("http://www.bing.com/maps/?lvl=14&amp;sty=h&amp;cp=34.0311~44.9459&amp;sp=point.34.0311_44.9459","Maplink3")</f>
        <v>Maplink3</v>
      </c>
    </row>
    <row r="544" spans="1:51" x14ac:dyDescent="0.2">
      <c r="A544" s="102">
        <v>32078</v>
      </c>
      <c r="B544" s="103" t="s">
        <v>32</v>
      </c>
      <c r="C544" s="103" t="s">
        <v>91</v>
      </c>
      <c r="D544" s="103" t="s">
        <v>1183</v>
      </c>
      <c r="E544" s="103" t="s">
        <v>1184</v>
      </c>
      <c r="F544" s="103">
        <v>34.01972</v>
      </c>
      <c r="G544" s="103">
        <v>44.996037039599997</v>
      </c>
      <c r="H544" s="102">
        <v>25</v>
      </c>
      <c r="I544" s="102">
        <v>150</v>
      </c>
      <c r="J544" s="103"/>
      <c r="K544" s="103"/>
      <c r="L544" s="103"/>
      <c r="M544" s="103">
        <v>25</v>
      </c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>
        <v>19</v>
      </c>
      <c r="AA544" s="103"/>
      <c r="AB544" s="103"/>
      <c r="AC544" s="103">
        <v>6</v>
      </c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>
        <v>25</v>
      </c>
      <c r="AO544" s="103"/>
      <c r="AP544" s="103"/>
      <c r="AQ544" s="103"/>
      <c r="AR544" s="103"/>
      <c r="AS544" s="103"/>
      <c r="AT544" s="103"/>
      <c r="AU544" s="103"/>
      <c r="AV544" s="103"/>
      <c r="AW544" s="104" t="str">
        <f>HYPERLINK("http://www.openstreetmap.org/?mlat=34.0197&amp;mlon=44.996&amp;zoom=12#map=12/34.0197/44.996","Maplink1")</f>
        <v>Maplink1</v>
      </c>
      <c r="AX544" s="104" t="str">
        <f>HYPERLINK("https://www.google.iq/maps/search/+34.0197,44.996/@34.0197,44.996,14z?hl=en","Maplink2")</f>
        <v>Maplink2</v>
      </c>
      <c r="AY544" s="104" t="str">
        <f>HYPERLINK("http://www.bing.com/maps/?lvl=14&amp;sty=h&amp;cp=34.0197~44.996&amp;sp=point.34.0197_44.996","Maplink3")</f>
        <v>Maplink3</v>
      </c>
    </row>
    <row r="545" spans="1:51" x14ac:dyDescent="0.2">
      <c r="A545" s="102">
        <v>10948</v>
      </c>
      <c r="B545" s="103" t="s">
        <v>32</v>
      </c>
      <c r="C545" s="103" t="s">
        <v>91</v>
      </c>
      <c r="D545" s="103" t="s">
        <v>1185</v>
      </c>
      <c r="E545" s="103" t="s">
        <v>1186</v>
      </c>
      <c r="F545" s="103">
        <v>33.906168899999997</v>
      </c>
      <c r="G545" s="103">
        <v>44.724553299999997</v>
      </c>
      <c r="H545" s="102">
        <v>52</v>
      </c>
      <c r="I545" s="102">
        <v>312</v>
      </c>
      <c r="J545" s="103"/>
      <c r="K545" s="103"/>
      <c r="L545" s="103"/>
      <c r="M545" s="103">
        <v>52</v>
      </c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>
        <v>52</v>
      </c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03"/>
      <c r="AR545" s="103"/>
      <c r="AS545" s="103"/>
      <c r="AT545" s="103"/>
      <c r="AU545" s="103">
        <v>52</v>
      </c>
      <c r="AV545" s="103"/>
      <c r="AW545" s="104" t="str">
        <f>HYPERLINK("http://www.openstreetmap.org/?mlat=33.9062&amp;mlon=44.7246&amp;zoom=12#map=12/33.9062/44.7246","Maplink1")</f>
        <v>Maplink1</v>
      </c>
      <c r="AX545" s="104" t="str">
        <f>HYPERLINK("https://www.google.iq/maps/search/+33.9062,44.7246/@33.9062,44.7246,14z?hl=en","Maplink2")</f>
        <v>Maplink2</v>
      </c>
      <c r="AY545" s="104" t="str">
        <f>HYPERLINK("http://www.bing.com/maps/?lvl=14&amp;sty=h&amp;cp=33.9062~44.7246&amp;sp=point.33.9062_44.7246","Maplink3")</f>
        <v>Maplink3</v>
      </c>
    </row>
    <row r="546" spans="1:51" x14ac:dyDescent="0.2">
      <c r="A546" s="102">
        <v>32020</v>
      </c>
      <c r="B546" s="103" t="s">
        <v>32</v>
      </c>
      <c r="C546" s="103" t="s">
        <v>91</v>
      </c>
      <c r="D546" s="103" t="s">
        <v>1240</v>
      </c>
      <c r="E546" s="103" t="s">
        <v>1241</v>
      </c>
      <c r="F546" s="103">
        <v>33.989910000000002</v>
      </c>
      <c r="G546" s="103">
        <v>44.919110561399997</v>
      </c>
      <c r="H546" s="102">
        <v>59</v>
      </c>
      <c r="I546" s="102">
        <v>354</v>
      </c>
      <c r="J546" s="103"/>
      <c r="K546" s="103"/>
      <c r="L546" s="103"/>
      <c r="M546" s="103">
        <v>55</v>
      </c>
      <c r="N546" s="103">
        <v>4</v>
      </c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>
        <v>50</v>
      </c>
      <c r="AA546" s="103"/>
      <c r="AB546" s="103"/>
      <c r="AC546" s="103">
        <v>5</v>
      </c>
      <c r="AD546" s="103"/>
      <c r="AE546" s="103"/>
      <c r="AF546" s="103"/>
      <c r="AG546" s="103"/>
      <c r="AH546" s="103"/>
      <c r="AI546" s="103"/>
      <c r="AJ546" s="103">
        <v>4</v>
      </c>
      <c r="AK546" s="103"/>
      <c r="AL546" s="103"/>
      <c r="AM546" s="103"/>
      <c r="AN546" s="103">
        <v>59</v>
      </c>
      <c r="AO546" s="103"/>
      <c r="AP546" s="103"/>
      <c r="AQ546" s="103"/>
      <c r="AR546" s="103"/>
      <c r="AS546" s="103"/>
      <c r="AT546" s="103"/>
      <c r="AU546" s="103"/>
      <c r="AV546" s="103"/>
      <c r="AW546" s="104" t="str">
        <f>HYPERLINK("http://www.openstreetmap.org/?mlat=33.9899&amp;mlon=44.9191&amp;zoom=12#map=12/33.9899/44.9191","Maplink1")</f>
        <v>Maplink1</v>
      </c>
      <c r="AX546" s="104" t="str">
        <f>HYPERLINK("https://www.google.iq/maps/search/+33.9899,44.9191/@33.9899,44.9191,14z?hl=en","Maplink2")</f>
        <v>Maplink2</v>
      </c>
      <c r="AY546" s="104" t="str">
        <f>HYPERLINK("http://www.bing.com/maps/?lvl=14&amp;sty=h&amp;cp=33.9899~44.9191&amp;sp=point.33.9899_44.9191","Maplink3")</f>
        <v>Maplink3</v>
      </c>
    </row>
    <row r="547" spans="1:51" x14ac:dyDescent="0.2">
      <c r="A547" s="102">
        <v>31720</v>
      </c>
      <c r="B547" s="103" t="s">
        <v>32</v>
      </c>
      <c r="C547" s="103" t="s">
        <v>91</v>
      </c>
      <c r="D547" s="103" t="s">
        <v>1238</v>
      </c>
      <c r="E547" s="103" t="s">
        <v>1239</v>
      </c>
      <c r="F547" s="103">
        <v>33.990099999999998</v>
      </c>
      <c r="G547" s="103">
        <v>44.923069516399998</v>
      </c>
      <c r="H547" s="102">
        <v>125</v>
      </c>
      <c r="I547" s="102">
        <v>750</v>
      </c>
      <c r="J547" s="103"/>
      <c r="K547" s="103"/>
      <c r="L547" s="103"/>
      <c r="M547" s="103">
        <v>110</v>
      </c>
      <c r="N547" s="103">
        <v>15</v>
      </c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>
        <v>125</v>
      </c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>
        <v>125</v>
      </c>
      <c r="AO547" s="103"/>
      <c r="AP547" s="103"/>
      <c r="AQ547" s="103"/>
      <c r="AR547" s="103"/>
      <c r="AS547" s="103"/>
      <c r="AT547" s="103"/>
      <c r="AU547" s="103"/>
      <c r="AV547" s="103"/>
      <c r="AW547" s="104" t="str">
        <f>HYPERLINK("http://www.openstreetmap.org/?mlat=33.9901&amp;mlon=44.9231&amp;zoom=12#map=12/33.9901/44.9231","Maplink1")</f>
        <v>Maplink1</v>
      </c>
      <c r="AX547" s="104" t="str">
        <f>HYPERLINK("https://www.google.iq/maps/search/+33.9901,44.9231/@33.9901,44.9231,14z?hl=en","Maplink2")</f>
        <v>Maplink2</v>
      </c>
      <c r="AY547" s="104" t="str">
        <f>HYPERLINK("http://www.bing.com/maps/?lvl=14&amp;sty=h&amp;cp=33.9901~44.9231&amp;sp=point.33.9901_44.9231","Maplink3")</f>
        <v>Maplink3</v>
      </c>
    </row>
    <row r="548" spans="1:51" x14ac:dyDescent="0.2">
      <c r="A548" s="102">
        <v>11307</v>
      </c>
      <c r="B548" s="103" t="s">
        <v>32</v>
      </c>
      <c r="C548" s="103" t="s">
        <v>91</v>
      </c>
      <c r="D548" s="103" t="s">
        <v>1262</v>
      </c>
      <c r="E548" s="103" t="s">
        <v>1263</v>
      </c>
      <c r="F548" s="103">
        <v>34.018279999999997</v>
      </c>
      <c r="G548" s="103">
        <v>44.997178140000003</v>
      </c>
      <c r="H548" s="102">
        <v>282</v>
      </c>
      <c r="I548" s="102">
        <v>1692</v>
      </c>
      <c r="J548" s="103"/>
      <c r="K548" s="103"/>
      <c r="L548" s="103"/>
      <c r="M548" s="103">
        <v>250</v>
      </c>
      <c r="N548" s="103">
        <v>32</v>
      </c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>
        <v>276</v>
      </c>
      <c r="AA548" s="103"/>
      <c r="AB548" s="103"/>
      <c r="AC548" s="103">
        <v>6</v>
      </c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>
        <v>282</v>
      </c>
      <c r="AQ548" s="103"/>
      <c r="AR548" s="103"/>
      <c r="AS548" s="103"/>
      <c r="AT548" s="103"/>
      <c r="AU548" s="103"/>
      <c r="AV548" s="103"/>
      <c r="AW548" s="104" t="str">
        <f>HYPERLINK("http://www.openstreetmap.org/?mlat=34.0183&amp;mlon=44.9972&amp;zoom=12#map=12/34.0183/44.9972","Maplink1")</f>
        <v>Maplink1</v>
      </c>
      <c r="AX548" s="104" t="str">
        <f>HYPERLINK("https://www.google.iq/maps/search/+34.0183,44.9972/@34.0183,44.9972,14z?hl=en","Maplink2")</f>
        <v>Maplink2</v>
      </c>
      <c r="AY548" s="104" t="str">
        <f>HYPERLINK("http://www.bing.com/maps/?lvl=14&amp;sty=h&amp;cp=34.0183~44.9972&amp;sp=point.34.0183_44.9972","Maplink3")</f>
        <v>Maplink3</v>
      </c>
    </row>
    <row r="549" spans="1:51" x14ac:dyDescent="0.2">
      <c r="A549" s="102">
        <v>11179</v>
      </c>
      <c r="B549" s="103" t="s">
        <v>32</v>
      </c>
      <c r="C549" s="103" t="s">
        <v>91</v>
      </c>
      <c r="D549" s="103" t="s">
        <v>1264</v>
      </c>
      <c r="E549" s="103" t="s">
        <v>1265</v>
      </c>
      <c r="F549" s="103">
        <v>33.983383000000003</v>
      </c>
      <c r="G549" s="103">
        <v>44.934351193799998</v>
      </c>
      <c r="H549" s="102">
        <v>350</v>
      </c>
      <c r="I549" s="102">
        <v>2100</v>
      </c>
      <c r="J549" s="103"/>
      <c r="K549" s="103"/>
      <c r="L549" s="103"/>
      <c r="M549" s="103">
        <v>350</v>
      </c>
      <c r="N549" s="103"/>
      <c r="O549" s="103"/>
      <c r="P549" s="103"/>
      <c r="Q549" s="103"/>
      <c r="R549" s="103"/>
      <c r="S549" s="103"/>
      <c r="T549" s="103"/>
      <c r="U549" s="103"/>
      <c r="V549" s="103"/>
      <c r="W549" s="103"/>
      <c r="X549" s="103"/>
      <c r="Y549" s="103"/>
      <c r="Z549" s="103">
        <v>350</v>
      </c>
      <c r="AA549" s="103"/>
      <c r="AB549" s="103"/>
      <c r="AC549" s="103"/>
      <c r="AD549" s="103"/>
      <c r="AE549" s="103"/>
      <c r="AF549" s="103"/>
      <c r="AG549" s="103"/>
      <c r="AH549" s="103"/>
      <c r="AI549" s="103"/>
      <c r="AJ549" s="103"/>
      <c r="AK549" s="103"/>
      <c r="AL549" s="103"/>
      <c r="AM549" s="103"/>
      <c r="AN549" s="103">
        <v>350</v>
      </c>
      <c r="AO549" s="103"/>
      <c r="AP549" s="103"/>
      <c r="AQ549" s="103"/>
      <c r="AR549" s="103"/>
      <c r="AS549" s="103"/>
      <c r="AT549" s="103"/>
      <c r="AU549" s="103"/>
      <c r="AV549" s="103"/>
      <c r="AW549" s="104" t="str">
        <f>HYPERLINK("http://www.openstreetmap.org/?mlat=33.9834&amp;mlon=44.9344&amp;zoom=12#map=12/33.9834/44.9344","Maplink1")</f>
        <v>Maplink1</v>
      </c>
      <c r="AX549" s="104" t="str">
        <f>HYPERLINK("https://www.google.iq/maps/search/+33.9834,44.9344/@33.9834,44.9344,14z?hl=en","Maplink2")</f>
        <v>Maplink2</v>
      </c>
      <c r="AY549" s="104" t="str">
        <f>HYPERLINK("http://www.bing.com/maps/?lvl=14&amp;sty=h&amp;cp=33.9834~44.9344&amp;sp=point.33.9834_44.9344","Maplink3")</f>
        <v>Maplink3</v>
      </c>
    </row>
    <row r="550" spans="1:51" x14ac:dyDescent="0.2">
      <c r="A550" s="102">
        <v>11327</v>
      </c>
      <c r="B550" s="103" t="s">
        <v>32</v>
      </c>
      <c r="C550" s="103" t="s">
        <v>91</v>
      </c>
      <c r="D550" s="103" t="s">
        <v>1266</v>
      </c>
      <c r="E550" s="103" t="s">
        <v>1267</v>
      </c>
      <c r="F550" s="103">
        <v>34.040167417699998</v>
      </c>
      <c r="G550" s="103">
        <v>44.9883036672</v>
      </c>
      <c r="H550" s="102">
        <v>389</v>
      </c>
      <c r="I550" s="102">
        <v>2334</v>
      </c>
      <c r="J550" s="103"/>
      <c r="K550" s="103"/>
      <c r="L550" s="103"/>
      <c r="M550" s="103">
        <v>329</v>
      </c>
      <c r="N550" s="103">
        <v>60</v>
      </c>
      <c r="O550" s="103"/>
      <c r="P550" s="103"/>
      <c r="Q550" s="103"/>
      <c r="R550" s="103"/>
      <c r="S550" s="103"/>
      <c r="T550" s="103"/>
      <c r="U550" s="103"/>
      <c r="V550" s="103"/>
      <c r="W550" s="103"/>
      <c r="X550" s="103"/>
      <c r="Y550" s="103"/>
      <c r="Z550" s="103">
        <v>270</v>
      </c>
      <c r="AA550" s="103"/>
      <c r="AB550" s="103"/>
      <c r="AC550" s="103">
        <v>14</v>
      </c>
      <c r="AD550" s="103"/>
      <c r="AE550" s="103"/>
      <c r="AF550" s="103"/>
      <c r="AG550" s="103"/>
      <c r="AH550" s="103"/>
      <c r="AI550" s="103"/>
      <c r="AJ550" s="103">
        <v>105</v>
      </c>
      <c r="AK550" s="103"/>
      <c r="AL550" s="103"/>
      <c r="AM550" s="103"/>
      <c r="AN550" s="103"/>
      <c r="AO550" s="103"/>
      <c r="AP550" s="103">
        <v>389</v>
      </c>
      <c r="AQ550" s="103"/>
      <c r="AR550" s="103"/>
      <c r="AS550" s="103"/>
      <c r="AT550" s="103"/>
      <c r="AU550" s="103"/>
      <c r="AV550" s="103"/>
      <c r="AW550" s="104" t="str">
        <f>HYPERLINK("http://www.openstreetmap.org/?mlat=34.0402&amp;mlon=44.9883&amp;zoom=12#map=12/34.0402/44.9883","Maplink1")</f>
        <v>Maplink1</v>
      </c>
      <c r="AX550" s="104" t="str">
        <f>HYPERLINK("https://www.google.iq/maps/search/+34.0402,44.9883/@34.0402,44.9883,14z?hl=en","Maplink2")</f>
        <v>Maplink2</v>
      </c>
      <c r="AY550" s="104" t="str">
        <f>HYPERLINK("http://www.bing.com/maps/?lvl=14&amp;sty=h&amp;cp=34.0402~44.9883&amp;sp=point.34.0402_44.9883","Maplink3")</f>
        <v>Maplink3</v>
      </c>
    </row>
    <row r="551" spans="1:51" x14ac:dyDescent="0.2">
      <c r="A551" s="102">
        <v>11187</v>
      </c>
      <c r="B551" s="103" t="s">
        <v>32</v>
      </c>
      <c r="C551" s="103" t="s">
        <v>91</v>
      </c>
      <c r="D551" s="103" t="s">
        <v>1268</v>
      </c>
      <c r="E551" s="103" t="s">
        <v>1269</v>
      </c>
      <c r="F551" s="103">
        <v>33.989339999999999</v>
      </c>
      <c r="G551" s="103">
        <v>44.973995942000002</v>
      </c>
      <c r="H551" s="102">
        <v>31</v>
      </c>
      <c r="I551" s="102">
        <v>186</v>
      </c>
      <c r="J551" s="103"/>
      <c r="K551" s="103"/>
      <c r="L551" s="103"/>
      <c r="M551" s="103">
        <v>31</v>
      </c>
      <c r="N551" s="103"/>
      <c r="O551" s="103"/>
      <c r="P551" s="103"/>
      <c r="Q551" s="103"/>
      <c r="R551" s="103"/>
      <c r="S551" s="103"/>
      <c r="T551" s="103"/>
      <c r="U551" s="103"/>
      <c r="V551" s="103"/>
      <c r="W551" s="103"/>
      <c r="X551" s="103"/>
      <c r="Y551" s="103"/>
      <c r="Z551" s="103">
        <v>31</v>
      </c>
      <c r="AA551" s="103"/>
      <c r="AB551" s="103"/>
      <c r="AC551" s="103"/>
      <c r="AD551" s="103"/>
      <c r="AE551" s="103"/>
      <c r="AF551" s="103"/>
      <c r="AG551" s="103"/>
      <c r="AH551" s="103"/>
      <c r="AI551" s="103"/>
      <c r="AJ551" s="103"/>
      <c r="AK551" s="103"/>
      <c r="AL551" s="103"/>
      <c r="AM551" s="103"/>
      <c r="AN551" s="103">
        <v>31</v>
      </c>
      <c r="AO551" s="103"/>
      <c r="AP551" s="103"/>
      <c r="AQ551" s="103"/>
      <c r="AR551" s="103"/>
      <c r="AS551" s="103"/>
      <c r="AT551" s="103"/>
      <c r="AU551" s="103"/>
      <c r="AV551" s="103"/>
      <c r="AW551" s="104" t="str">
        <f>HYPERLINK("http://www.openstreetmap.org/?mlat=33.9893&amp;mlon=44.974&amp;zoom=12#map=12/33.9893/44.974","Maplink1")</f>
        <v>Maplink1</v>
      </c>
      <c r="AX551" s="104" t="str">
        <f>HYPERLINK("https://www.google.iq/maps/search/+33.9893,44.974/@33.9893,44.974,14z?hl=en","Maplink2")</f>
        <v>Maplink2</v>
      </c>
      <c r="AY551" s="104" t="str">
        <f>HYPERLINK("http://www.bing.com/maps/?lvl=14&amp;sty=h&amp;cp=33.9893~44.974&amp;sp=point.33.9893_44.974","Maplink3")</f>
        <v>Maplink3</v>
      </c>
    </row>
    <row r="552" spans="1:51" x14ac:dyDescent="0.2">
      <c r="A552" s="102">
        <v>25805</v>
      </c>
      <c r="B552" s="103" t="s">
        <v>32</v>
      </c>
      <c r="C552" s="103" t="s">
        <v>91</v>
      </c>
      <c r="D552" s="103" t="s">
        <v>1242</v>
      </c>
      <c r="E552" s="103" t="s">
        <v>1243</v>
      </c>
      <c r="F552" s="103">
        <v>33.984566497499998</v>
      </c>
      <c r="G552" s="103">
        <v>44.942061474100001</v>
      </c>
      <c r="H552" s="102">
        <v>160</v>
      </c>
      <c r="I552" s="102">
        <v>960</v>
      </c>
      <c r="J552" s="103"/>
      <c r="K552" s="103"/>
      <c r="L552" s="103"/>
      <c r="M552" s="103">
        <v>160</v>
      </c>
      <c r="N552" s="103"/>
      <c r="O552" s="103"/>
      <c r="P552" s="103"/>
      <c r="Q552" s="103"/>
      <c r="R552" s="103"/>
      <c r="S552" s="103"/>
      <c r="T552" s="103"/>
      <c r="U552" s="103"/>
      <c r="V552" s="103"/>
      <c r="W552" s="103"/>
      <c r="X552" s="103"/>
      <c r="Y552" s="103"/>
      <c r="Z552" s="103">
        <v>160</v>
      </c>
      <c r="AA552" s="103"/>
      <c r="AB552" s="103"/>
      <c r="AC552" s="103"/>
      <c r="AD552" s="103"/>
      <c r="AE552" s="103"/>
      <c r="AF552" s="103"/>
      <c r="AG552" s="103"/>
      <c r="AH552" s="103"/>
      <c r="AI552" s="103"/>
      <c r="AJ552" s="103"/>
      <c r="AK552" s="103"/>
      <c r="AL552" s="103"/>
      <c r="AM552" s="103"/>
      <c r="AN552" s="103">
        <v>160</v>
      </c>
      <c r="AO552" s="103"/>
      <c r="AP552" s="103"/>
      <c r="AQ552" s="103"/>
      <c r="AR552" s="103"/>
      <c r="AS552" s="103"/>
      <c r="AT552" s="103"/>
      <c r="AU552" s="103"/>
      <c r="AV552" s="103"/>
      <c r="AW552" s="104" t="str">
        <f>HYPERLINK("http://www.openstreetmap.org/?mlat=33.9846&amp;mlon=44.9421&amp;zoom=12#map=12/33.9846/44.9421","Maplink1")</f>
        <v>Maplink1</v>
      </c>
      <c r="AX552" s="104" t="str">
        <f>HYPERLINK("https://www.google.iq/maps/search/+33.9846,44.9421/@33.9846,44.9421,14z?hl=en","Maplink2")</f>
        <v>Maplink2</v>
      </c>
      <c r="AY552" s="104" t="str">
        <f>HYPERLINK("http://www.bing.com/maps/?lvl=14&amp;sty=h&amp;cp=33.9846~44.9421&amp;sp=point.33.9846_44.9421","Maplink3")</f>
        <v>Maplink3</v>
      </c>
    </row>
    <row r="553" spans="1:51" x14ac:dyDescent="0.2">
      <c r="A553" s="102">
        <v>26031</v>
      </c>
      <c r="B553" s="103" t="s">
        <v>32</v>
      </c>
      <c r="C553" s="103" t="s">
        <v>91</v>
      </c>
      <c r="D553" s="103" t="s">
        <v>1244</v>
      </c>
      <c r="E553" s="103" t="s">
        <v>1245</v>
      </c>
      <c r="F553" s="103">
        <v>34.037039999999998</v>
      </c>
      <c r="G553" s="103">
        <v>44.927664287900001</v>
      </c>
      <c r="H553" s="102">
        <v>65</v>
      </c>
      <c r="I553" s="102">
        <v>390</v>
      </c>
      <c r="J553" s="103"/>
      <c r="K553" s="103"/>
      <c r="L553" s="103"/>
      <c r="M553" s="103">
        <v>65</v>
      </c>
      <c r="N553" s="103"/>
      <c r="O553" s="103"/>
      <c r="P553" s="103"/>
      <c r="Q553" s="103"/>
      <c r="R553" s="103"/>
      <c r="S553" s="103"/>
      <c r="T553" s="103"/>
      <c r="U553" s="103"/>
      <c r="V553" s="103"/>
      <c r="W553" s="103"/>
      <c r="X553" s="103"/>
      <c r="Y553" s="103"/>
      <c r="Z553" s="103">
        <v>57</v>
      </c>
      <c r="AA553" s="103"/>
      <c r="AB553" s="103"/>
      <c r="AC553" s="103">
        <v>3</v>
      </c>
      <c r="AD553" s="103"/>
      <c r="AE553" s="103"/>
      <c r="AF553" s="103"/>
      <c r="AG553" s="103"/>
      <c r="AH553" s="103"/>
      <c r="AI553" s="103"/>
      <c r="AJ553" s="103">
        <v>5</v>
      </c>
      <c r="AK553" s="103"/>
      <c r="AL553" s="103"/>
      <c r="AM553" s="103"/>
      <c r="AN553" s="103"/>
      <c r="AO553" s="103"/>
      <c r="AP553" s="103">
        <v>65</v>
      </c>
      <c r="AQ553" s="103"/>
      <c r="AR553" s="103"/>
      <c r="AS553" s="103"/>
      <c r="AT553" s="103"/>
      <c r="AU553" s="103"/>
      <c r="AV553" s="103"/>
      <c r="AW553" s="104" t="str">
        <f>HYPERLINK("http://www.openstreetmap.org/?mlat=34.037&amp;mlon=44.9277&amp;zoom=12#map=12/34.037/44.9277","Maplink1")</f>
        <v>Maplink1</v>
      </c>
      <c r="AX553" s="104" t="str">
        <f>HYPERLINK("https://www.google.iq/maps/search/+34.037,44.9277/@34.037,44.9277,14z?hl=en","Maplink2")</f>
        <v>Maplink2</v>
      </c>
      <c r="AY553" s="104" t="str">
        <f>HYPERLINK("http://www.bing.com/maps/?lvl=14&amp;sty=h&amp;cp=34.037~44.9277&amp;sp=point.34.037_44.9277","Maplink3")</f>
        <v>Maplink3</v>
      </c>
    </row>
    <row r="554" spans="1:51" x14ac:dyDescent="0.2">
      <c r="A554" s="102">
        <v>25804</v>
      </c>
      <c r="B554" s="103" t="s">
        <v>32</v>
      </c>
      <c r="C554" s="103" t="s">
        <v>91</v>
      </c>
      <c r="D554" s="103" t="s">
        <v>1223</v>
      </c>
      <c r="E554" s="103" t="s">
        <v>237</v>
      </c>
      <c r="F554" s="103">
        <v>33.989437009</v>
      </c>
      <c r="G554" s="103">
        <v>44.949544312999997</v>
      </c>
      <c r="H554" s="102">
        <v>380</v>
      </c>
      <c r="I554" s="102">
        <v>2280</v>
      </c>
      <c r="J554" s="103"/>
      <c r="K554" s="103"/>
      <c r="L554" s="103"/>
      <c r="M554" s="103">
        <v>380</v>
      </c>
      <c r="N554" s="103"/>
      <c r="O554" s="103"/>
      <c r="P554" s="103"/>
      <c r="Q554" s="103"/>
      <c r="R554" s="103"/>
      <c r="S554" s="103"/>
      <c r="T554" s="103"/>
      <c r="U554" s="103"/>
      <c r="V554" s="103"/>
      <c r="W554" s="103"/>
      <c r="X554" s="103"/>
      <c r="Y554" s="103"/>
      <c r="Z554" s="103">
        <v>380</v>
      </c>
      <c r="AA554" s="103"/>
      <c r="AB554" s="103"/>
      <c r="AC554" s="103"/>
      <c r="AD554" s="103"/>
      <c r="AE554" s="103"/>
      <c r="AF554" s="103"/>
      <c r="AG554" s="103"/>
      <c r="AH554" s="103"/>
      <c r="AI554" s="103"/>
      <c r="AJ554" s="103"/>
      <c r="AK554" s="103"/>
      <c r="AL554" s="103"/>
      <c r="AM554" s="103"/>
      <c r="AN554" s="103">
        <v>380</v>
      </c>
      <c r="AO554" s="103"/>
      <c r="AP554" s="103"/>
      <c r="AQ554" s="103"/>
      <c r="AR554" s="103"/>
      <c r="AS554" s="103"/>
      <c r="AT554" s="103"/>
      <c r="AU554" s="103"/>
      <c r="AV554" s="103"/>
      <c r="AW554" s="104" t="str">
        <f>HYPERLINK("http://www.openstreetmap.org/?mlat=33.9894&amp;mlon=44.9495&amp;zoom=12#map=12/33.9894/44.9495","Maplink1")</f>
        <v>Maplink1</v>
      </c>
      <c r="AX554" s="104" t="str">
        <f>HYPERLINK("https://www.google.iq/maps/search/+33.9894,44.9495/@33.9894,44.9495,14z?hl=en","Maplink2")</f>
        <v>Maplink2</v>
      </c>
      <c r="AY554" s="104" t="str">
        <f>HYPERLINK("http://www.bing.com/maps/?lvl=14&amp;sty=h&amp;cp=33.9894~44.9495&amp;sp=point.33.9894_44.9495","Maplink3")</f>
        <v>Maplink3</v>
      </c>
    </row>
    <row r="555" spans="1:51" x14ac:dyDescent="0.2">
      <c r="A555" s="102">
        <v>25685</v>
      </c>
      <c r="B555" s="103" t="s">
        <v>32</v>
      </c>
      <c r="C555" s="103" t="s">
        <v>91</v>
      </c>
      <c r="D555" s="103" t="s">
        <v>1224</v>
      </c>
      <c r="E555" s="103" t="s">
        <v>1225</v>
      </c>
      <c r="F555" s="103">
        <v>33.998164351600003</v>
      </c>
      <c r="G555" s="103">
        <v>44.975184507900003</v>
      </c>
      <c r="H555" s="102">
        <v>177</v>
      </c>
      <c r="I555" s="102">
        <v>1062</v>
      </c>
      <c r="J555" s="103"/>
      <c r="K555" s="103"/>
      <c r="L555" s="103"/>
      <c r="M555" s="103">
        <v>177</v>
      </c>
      <c r="N555" s="103"/>
      <c r="O555" s="103"/>
      <c r="P555" s="103"/>
      <c r="Q555" s="103"/>
      <c r="R555" s="103"/>
      <c r="S555" s="103"/>
      <c r="T555" s="103"/>
      <c r="U555" s="103"/>
      <c r="V555" s="103"/>
      <c r="W555" s="103"/>
      <c r="X555" s="103"/>
      <c r="Y555" s="103"/>
      <c r="Z555" s="103">
        <v>177</v>
      </c>
      <c r="AA555" s="103"/>
      <c r="AB555" s="103"/>
      <c r="AC555" s="103"/>
      <c r="AD555" s="103"/>
      <c r="AE555" s="103"/>
      <c r="AF555" s="103"/>
      <c r="AG555" s="103"/>
      <c r="AH555" s="103"/>
      <c r="AI555" s="103"/>
      <c r="AJ555" s="103"/>
      <c r="AK555" s="103"/>
      <c r="AL555" s="103"/>
      <c r="AM555" s="103"/>
      <c r="AN555" s="103"/>
      <c r="AO555" s="103"/>
      <c r="AP555" s="103">
        <v>177</v>
      </c>
      <c r="AQ555" s="103"/>
      <c r="AR555" s="103"/>
      <c r="AS555" s="103"/>
      <c r="AT555" s="103"/>
      <c r="AU555" s="103"/>
      <c r="AV555" s="103"/>
      <c r="AW555" s="104" t="str">
        <f>HYPERLINK("http://www.openstreetmap.org/?mlat=33.9982&amp;mlon=44.9752&amp;zoom=12#map=12/33.9982/44.9752","Maplink1")</f>
        <v>Maplink1</v>
      </c>
      <c r="AX555" s="104" t="str">
        <f>HYPERLINK("https://www.google.iq/maps/search/+33.9982,44.9752/@33.9982,44.9752,14z?hl=en","Maplink2")</f>
        <v>Maplink2</v>
      </c>
      <c r="AY555" s="104" t="str">
        <f>HYPERLINK("http://www.bing.com/maps/?lvl=14&amp;sty=h&amp;cp=33.9982~44.9752&amp;sp=point.33.9982_44.9752","Maplink3")</f>
        <v>Maplink3</v>
      </c>
    </row>
    <row r="556" spans="1:51" x14ac:dyDescent="0.2">
      <c r="A556" s="102">
        <v>25948</v>
      </c>
      <c r="B556" s="103" t="s">
        <v>32</v>
      </c>
      <c r="C556" s="103" t="s">
        <v>91</v>
      </c>
      <c r="D556" s="103" t="s">
        <v>1270</v>
      </c>
      <c r="E556" s="103" t="s">
        <v>1271</v>
      </c>
      <c r="F556" s="103">
        <v>34.048459999999999</v>
      </c>
      <c r="G556" s="103">
        <v>44.982603877899997</v>
      </c>
      <c r="H556" s="102">
        <v>498</v>
      </c>
      <c r="I556" s="102">
        <v>2988</v>
      </c>
      <c r="J556" s="103"/>
      <c r="K556" s="103"/>
      <c r="L556" s="103"/>
      <c r="M556" s="103">
        <v>455</v>
      </c>
      <c r="N556" s="103">
        <v>43</v>
      </c>
      <c r="O556" s="103"/>
      <c r="P556" s="103"/>
      <c r="Q556" s="103"/>
      <c r="R556" s="103"/>
      <c r="S556" s="103"/>
      <c r="T556" s="103"/>
      <c r="U556" s="103"/>
      <c r="V556" s="103"/>
      <c r="W556" s="103"/>
      <c r="X556" s="103"/>
      <c r="Y556" s="103"/>
      <c r="Z556" s="103">
        <v>492</v>
      </c>
      <c r="AA556" s="103"/>
      <c r="AB556" s="103"/>
      <c r="AC556" s="103">
        <v>6</v>
      </c>
      <c r="AD556" s="103"/>
      <c r="AE556" s="103"/>
      <c r="AF556" s="103"/>
      <c r="AG556" s="103"/>
      <c r="AH556" s="103"/>
      <c r="AI556" s="103"/>
      <c r="AJ556" s="103"/>
      <c r="AK556" s="103"/>
      <c r="AL556" s="103"/>
      <c r="AM556" s="103"/>
      <c r="AN556" s="103">
        <v>136</v>
      </c>
      <c r="AO556" s="103"/>
      <c r="AP556" s="103">
        <v>362</v>
      </c>
      <c r="AQ556" s="103"/>
      <c r="AR556" s="103"/>
      <c r="AS556" s="103"/>
      <c r="AT556" s="103"/>
      <c r="AU556" s="103"/>
      <c r="AV556" s="103"/>
      <c r="AW556" s="104" t="str">
        <f>HYPERLINK("http://www.openstreetmap.org/?mlat=34.0485&amp;mlon=44.9826&amp;zoom=12#map=12/34.0485/44.9826","Maplink1")</f>
        <v>Maplink1</v>
      </c>
      <c r="AX556" s="104" t="str">
        <f>HYPERLINK("https://www.google.iq/maps/search/+34.0485,44.9826/@34.0485,44.9826,14z?hl=en","Maplink2")</f>
        <v>Maplink2</v>
      </c>
      <c r="AY556" s="104" t="str">
        <f>HYPERLINK("http://www.bing.com/maps/?lvl=14&amp;sty=h&amp;cp=34.0485~44.9826&amp;sp=point.34.0485_44.9826","Maplink3")</f>
        <v>Maplink3</v>
      </c>
    </row>
    <row r="557" spans="1:51" x14ac:dyDescent="0.2">
      <c r="A557" s="102">
        <v>29674</v>
      </c>
      <c r="B557" s="103" t="s">
        <v>32</v>
      </c>
      <c r="C557" s="103" t="s">
        <v>91</v>
      </c>
      <c r="D557" s="103" t="s">
        <v>1141</v>
      </c>
      <c r="E557" s="103" t="s">
        <v>1142</v>
      </c>
      <c r="F557" s="103">
        <v>34.008339999999997</v>
      </c>
      <c r="G557" s="103">
        <v>44.894158190399999</v>
      </c>
      <c r="H557" s="102">
        <v>52</v>
      </c>
      <c r="I557" s="102">
        <v>312</v>
      </c>
      <c r="J557" s="103"/>
      <c r="K557" s="103"/>
      <c r="L557" s="103"/>
      <c r="M557" s="103">
        <v>41</v>
      </c>
      <c r="N557" s="103">
        <v>11</v>
      </c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>
        <v>27</v>
      </c>
      <c r="AA557" s="103"/>
      <c r="AB557" s="103">
        <v>25</v>
      </c>
      <c r="AC557" s="103"/>
      <c r="AD557" s="103"/>
      <c r="AE557" s="103"/>
      <c r="AF557" s="103"/>
      <c r="AG557" s="103"/>
      <c r="AH557" s="103"/>
      <c r="AI557" s="103"/>
      <c r="AJ557" s="103"/>
      <c r="AK557" s="103"/>
      <c r="AL557" s="103"/>
      <c r="AM557" s="103"/>
      <c r="AN557" s="103">
        <v>52</v>
      </c>
      <c r="AO557" s="103"/>
      <c r="AP557" s="103"/>
      <c r="AQ557" s="103"/>
      <c r="AR557" s="103"/>
      <c r="AS557" s="103"/>
      <c r="AT557" s="103"/>
      <c r="AU557" s="103"/>
      <c r="AV557" s="103"/>
      <c r="AW557" s="104" t="str">
        <f>HYPERLINK("http://www.openstreetmap.org/?mlat=34.0083&amp;mlon=44.8942&amp;zoom=12#map=12/34.0083/44.8942","Maplink1")</f>
        <v>Maplink1</v>
      </c>
      <c r="AX557" s="104" t="str">
        <f>HYPERLINK("https://www.google.iq/maps/search/+34.0083,44.8942/@34.0083,44.8942,14z?hl=en","Maplink2")</f>
        <v>Maplink2</v>
      </c>
      <c r="AY557" s="104" t="str">
        <f>HYPERLINK("http://www.bing.com/maps/?lvl=14&amp;sty=h&amp;cp=34.0083~44.8942&amp;sp=point.34.0083_44.8942","Maplink3")</f>
        <v>Maplink3</v>
      </c>
    </row>
    <row r="558" spans="1:51" x14ac:dyDescent="0.2">
      <c r="A558" s="102">
        <v>25827</v>
      </c>
      <c r="B558" s="103" t="s">
        <v>32</v>
      </c>
      <c r="C558" s="103" t="s">
        <v>91</v>
      </c>
      <c r="D558" s="103" t="s">
        <v>1203</v>
      </c>
      <c r="E558" s="103" t="s">
        <v>1204</v>
      </c>
      <c r="F558" s="103">
        <v>34.064419800000003</v>
      </c>
      <c r="G558" s="103">
        <v>44.963256399999999</v>
      </c>
      <c r="H558" s="102">
        <v>138</v>
      </c>
      <c r="I558" s="102">
        <v>828</v>
      </c>
      <c r="J558" s="103"/>
      <c r="K558" s="103"/>
      <c r="L558" s="103"/>
      <c r="M558" s="103">
        <v>95</v>
      </c>
      <c r="N558" s="103">
        <v>43</v>
      </c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>
        <v>138</v>
      </c>
      <c r="AA558" s="103"/>
      <c r="AB558" s="103"/>
      <c r="AC558" s="103"/>
      <c r="AD558" s="103"/>
      <c r="AE558" s="103"/>
      <c r="AF558" s="103"/>
      <c r="AG558" s="103"/>
      <c r="AH558" s="103"/>
      <c r="AI558" s="103"/>
      <c r="AJ558" s="103"/>
      <c r="AK558" s="103"/>
      <c r="AL558" s="103"/>
      <c r="AM558" s="103"/>
      <c r="AN558" s="103">
        <v>138</v>
      </c>
      <c r="AO558" s="103"/>
      <c r="AP558" s="103"/>
      <c r="AQ558" s="103"/>
      <c r="AR558" s="103"/>
      <c r="AS558" s="103"/>
      <c r="AT558" s="103"/>
      <c r="AU558" s="103"/>
      <c r="AV558" s="103"/>
      <c r="AW558" s="104" t="str">
        <f>HYPERLINK("http://www.openstreetmap.org/?mlat=34.0644&amp;mlon=44.9633&amp;zoom=12#map=12/34.0644/44.9633","Maplink1")</f>
        <v>Maplink1</v>
      </c>
      <c r="AX558" s="104" t="str">
        <f>HYPERLINK("https://www.google.iq/maps/search/+34.0644,44.9633/@34.0644,44.9633,14z?hl=en","Maplink2")</f>
        <v>Maplink2</v>
      </c>
      <c r="AY558" s="104" t="str">
        <f>HYPERLINK("http://www.bing.com/maps/?lvl=14&amp;sty=h&amp;cp=34.0644~44.9633&amp;sp=point.34.0644_44.9633","Maplink3")</f>
        <v>Maplink3</v>
      </c>
    </row>
    <row r="559" spans="1:51" x14ac:dyDescent="0.2">
      <c r="A559" s="102">
        <v>26026</v>
      </c>
      <c r="B559" s="103" t="s">
        <v>32</v>
      </c>
      <c r="C559" s="103" t="s">
        <v>91</v>
      </c>
      <c r="D559" s="103" t="s">
        <v>1205</v>
      </c>
      <c r="E559" s="103" t="s">
        <v>1206</v>
      </c>
      <c r="F559" s="103">
        <v>34.026456042100001</v>
      </c>
      <c r="G559" s="103">
        <v>44.928056980299999</v>
      </c>
      <c r="H559" s="102">
        <v>203</v>
      </c>
      <c r="I559" s="102">
        <v>1218</v>
      </c>
      <c r="J559" s="103"/>
      <c r="K559" s="103"/>
      <c r="L559" s="103"/>
      <c r="M559" s="103">
        <v>153</v>
      </c>
      <c r="N559" s="103">
        <v>50</v>
      </c>
      <c r="O559" s="103"/>
      <c r="P559" s="103"/>
      <c r="Q559" s="103"/>
      <c r="R559" s="103"/>
      <c r="S559" s="103"/>
      <c r="T559" s="103"/>
      <c r="U559" s="103"/>
      <c r="V559" s="103"/>
      <c r="W559" s="103"/>
      <c r="X559" s="103"/>
      <c r="Y559" s="103"/>
      <c r="Z559" s="103">
        <v>200</v>
      </c>
      <c r="AA559" s="103"/>
      <c r="AB559" s="103"/>
      <c r="AC559" s="103"/>
      <c r="AD559" s="103"/>
      <c r="AE559" s="103"/>
      <c r="AF559" s="103"/>
      <c r="AG559" s="103"/>
      <c r="AH559" s="103"/>
      <c r="AI559" s="103"/>
      <c r="AJ559" s="103">
        <v>3</v>
      </c>
      <c r="AK559" s="103"/>
      <c r="AL559" s="103"/>
      <c r="AM559" s="103"/>
      <c r="AN559" s="103"/>
      <c r="AO559" s="103"/>
      <c r="AP559" s="103">
        <v>203</v>
      </c>
      <c r="AQ559" s="103"/>
      <c r="AR559" s="103"/>
      <c r="AS559" s="103"/>
      <c r="AT559" s="103"/>
      <c r="AU559" s="103"/>
      <c r="AV559" s="103"/>
      <c r="AW559" s="104" t="str">
        <f>HYPERLINK("http://www.openstreetmap.org/?mlat=34.0265&amp;mlon=44.9281&amp;zoom=12#map=12/34.0265/44.9281","Maplink1")</f>
        <v>Maplink1</v>
      </c>
      <c r="AX559" s="104" t="str">
        <f>HYPERLINK("https://www.google.iq/maps/search/+34.0265,44.9281/@34.0265,44.9281,14z?hl=en","Maplink2")</f>
        <v>Maplink2</v>
      </c>
      <c r="AY559" s="104" t="str">
        <f>HYPERLINK("http://www.bing.com/maps/?lvl=14&amp;sty=h&amp;cp=34.0265~44.9281&amp;sp=point.34.0265_44.9281","Maplink3")</f>
        <v>Maplink3</v>
      </c>
    </row>
    <row r="560" spans="1:51" x14ac:dyDescent="0.2">
      <c r="A560" s="102">
        <v>11357</v>
      </c>
      <c r="B560" s="103" t="s">
        <v>32</v>
      </c>
      <c r="C560" s="103" t="s">
        <v>91</v>
      </c>
      <c r="D560" s="103" t="s">
        <v>1207</v>
      </c>
      <c r="E560" s="103" t="s">
        <v>1208</v>
      </c>
      <c r="F560" s="103">
        <v>34.011400000000002</v>
      </c>
      <c r="G560" s="103">
        <v>44.9598431167</v>
      </c>
      <c r="H560" s="102">
        <v>81</v>
      </c>
      <c r="I560" s="102">
        <v>486</v>
      </c>
      <c r="J560" s="103"/>
      <c r="K560" s="103"/>
      <c r="L560" s="103"/>
      <c r="M560" s="103">
        <v>60</v>
      </c>
      <c r="N560" s="103">
        <v>21</v>
      </c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>
        <v>81</v>
      </c>
      <c r="AA560" s="103"/>
      <c r="AB560" s="103"/>
      <c r="AC560" s="103"/>
      <c r="AD560" s="103"/>
      <c r="AE560" s="103"/>
      <c r="AF560" s="103"/>
      <c r="AG560" s="103"/>
      <c r="AH560" s="103"/>
      <c r="AI560" s="103"/>
      <c r="AJ560" s="103"/>
      <c r="AK560" s="103"/>
      <c r="AL560" s="103"/>
      <c r="AM560" s="103"/>
      <c r="AN560" s="103">
        <v>81</v>
      </c>
      <c r="AO560" s="103"/>
      <c r="AP560" s="103"/>
      <c r="AQ560" s="103"/>
      <c r="AR560" s="103"/>
      <c r="AS560" s="103"/>
      <c r="AT560" s="103"/>
      <c r="AU560" s="103"/>
      <c r="AV560" s="103"/>
      <c r="AW560" s="104" t="str">
        <f>HYPERLINK("http://www.openstreetmap.org/?mlat=34.0114&amp;mlon=44.9598&amp;zoom=12#map=12/34.0114/44.9598","Maplink1")</f>
        <v>Maplink1</v>
      </c>
      <c r="AX560" s="104" t="str">
        <f>HYPERLINK("https://www.google.iq/maps/search/+34.0114,44.9598/@34.0114,44.9598,14z?hl=en","Maplink2")</f>
        <v>Maplink2</v>
      </c>
      <c r="AY560" s="104" t="str">
        <f>HYPERLINK("http://www.bing.com/maps/?lvl=14&amp;sty=h&amp;cp=34.0114~44.9598&amp;sp=point.34.0114_44.9598","Maplink3")</f>
        <v>Maplink3</v>
      </c>
    </row>
    <row r="561" spans="1:51" x14ac:dyDescent="0.2">
      <c r="A561" s="102">
        <v>26028</v>
      </c>
      <c r="B561" s="103" t="s">
        <v>32</v>
      </c>
      <c r="C561" s="103" t="s">
        <v>91</v>
      </c>
      <c r="D561" s="103" t="s">
        <v>1272</v>
      </c>
      <c r="E561" s="103" t="s">
        <v>1273</v>
      </c>
      <c r="F561" s="103">
        <v>34.030412532200003</v>
      </c>
      <c r="G561" s="103">
        <v>44.9448909531</v>
      </c>
      <c r="H561" s="102">
        <v>123</v>
      </c>
      <c r="I561" s="102">
        <v>738</v>
      </c>
      <c r="J561" s="103"/>
      <c r="K561" s="103"/>
      <c r="L561" s="103"/>
      <c r="M561" s="103">
        <v>105</v>
      </c>
      <c r="N561" s="103">
        <v>18</v>
      </c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>
        <v>123</v>
      </c>
      <c r="AA561" s="103"/>
      <c r="AB561" s="103"/>
      <c r="AC561" s="103"/>
      <c r="AD561" s="103"/>
      <c r="AE561" s="103"/>
      <c r="AF561" s="103"/>
      <c r="AG561" s="103"/>
      <c r="AH561" s="103"/>
      <c r="AI561" s="103"/>
      <c r="AJ561" s="103"/>
      <c r="AK561" s="103"/>
      <c r="AL561" s="103"/>
      <c r="AM561" s="103"/>
      <c r="AN561" s="103"/>
      <c r="AO561" s="103"/>
      <c r="AP561" s="103">
        <v>123</v>
      </c>
      <c r="AQ561" s="103"/>
      <c r="AR561" s="103"/>
      <c r="AS561" s="103"/>
      <c r="AT561" s="103"/>
      <c r="AU561" s="103"/>
      <c r="AV561" s="103"/>
      <c r="AW561" s="104" t="str">
        <f>HYPERLINK("http://www.openstreetmap.org/?mlat=34.0304&amp;mlon=44.9449&amp;zoom=12#map=12/34.0304/44.9449","Maplink1")</f>
        <v>Maplink1</v>
      </c>
      <c r="AX561" s="104" t="str">
        <f>HYPERLINK("https://www.google.iq/maps/search/+34.0304,44.9449/@34.0304,44.9449,14z?hl=en","Maplink2")</f>
        <v>Maplink2</v>
      </c>
      <c r="AY561" s="104" t="str">
        <f>HYPERLINK("http://www.bing.com/maps/?lvl=14&amp;sty=h&amp;cp=34.0304~44.9449&amp;sp=point.34.0304_44.9449","Maplink3")</f>
        <v>Maplink3</v>
      </c>
    </row>
    <row r="562" spans="1:51" x14ac:dyDescent="0.2">
      <c r="A562" s="102">
        <v>11414</v>
      </c>
      <c r="B562" s="103" t="s">
        <v>32</v>
      </c>
      <c r="C562" s="103" t="s">
        <v>91</v>
      </c>
      <c r="D562" s="103" t="s">
        <v>1274</v>
      </c>
      <c r="E562" s="103" t="s">
        <v>1275</v>
      </c>
      <c r="F562" s="103">
        <v>34.005899999999997</v>
      </c>
      <c r="G562" s="103">
        <v>44.947151394000002</v>
      </c>
      <c r="H562" s="102">
        <v>64</v>
      </c>
      <c r="I562" s="102">
        <v>384</v>
      </c>
      <c r="J562" s="103"/>
      <c r="K562" s="103"/>
      <c r="L562" s="103"/>
      <c r="M562" s="103">
        <v>64</v>
      </c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>
        <v>40</v>
      </c>
      <c r="AA562" s="103"/>
      <c r="AB562" s="103"/>
      <c r="AC562" s="103">
        <v>4</v>
      </c>
      <c r="AD562" s="103"/>
      <c r="AE562" s="103"/>
      <c r="AF562" s="103"/>
      <c r="AG562" s="103"/>
      <c r="AH562" s="103"/>
      <c r="AI562" s="103"/>
      <c r="AJ562" s="103">
        <v>20</v>
      </c>
      <c r="AK562" s="103"/>
      <c r="AL562" s="103"/>
      <c r="AM562" s="103"/>
      <c r="AN562" s="103"/>
      <c r="AO562" s="103"/>
      <c r="AP562" s="103">
        <v>64</v>
      </c>
      <c r="AQ562" s="103"/>
      <c r="AR562" s="103"/>
      <c r="AS562" s="103"/>
      <c r="AT562" s="103"/>
      <c r="AU562" s="103"/>
      <c r="AV562" s="103"/>
      <c r="AW562" s="104" t="str">
        <f>HYPERLINK("http://www.openstreetmap.org/?mlat=34.0059&amp;mlon=44.9472&amp;zoom=12#map=12/34.0059/44.9472","Maplink1")</f>
        <v>Maplink1</v>
      </c>
      <c r="AX562" s="104" t="str">
        <f>HYPERLINK("https://www.google.iq/maps/search/+34.0059,44.9472/@34.0059,44.9472,14z?hl=en","Maplink2")</f>
        <v>Maplink2</v>
      </c>
      <c r="AY562" s="104" t="str">
        <f>HYPERLINK("http://www.bing.com/maps/?lvl=14&amp;sty=h&amp;cp=34.0059~44.9472&amp;sp=point.34.0059_44.9472","Maplink3")</f>
        <v>Maplink3</v>
      </c>
    </row>
    <row r="563" spans="1:51" x14ac:dyDescent="0.2">
      <c r="A563" s="102">
        <v>26113</v>
      </c>
      <c r="B563" s="103" t="s">
        <v>32</v>
      </c>
      <c r="C563" s="103" t="s">
        <v>91</v>
      </c>
      <c r="D563" s="103" t="s">
        <v>1276</v>
      </c>
      <c r="E563" s="103" t="s">
        <v>1277</v>
      </c>
      <c r="F563" s="103">
        <v>34.059930000000001</v>
      </c>
      <c r="G563" s="103">
        <v>44.980840968199999</v>
      </c>
      <c r="H563" s="102">
        <v>60</v>
      </c>
      <c r="I563" s="102">
        <v>360</v>
      </c>
      <c r="J563" s="103"/>
      <c r="K563" s="103"/>
      <c r="L563" s="103"/>
      <c r="M563" s="103">
        <v>60</v>
      </c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>
        <v>60</v>
      </c>
      <c r="AA563" s="103"/>
      <c r="AB563" s="103"/>
      <c r="AC563" s="103"/>
      <c r="AD563" s="103"/>
      <c r="AE563" s="103"/>
      <c r="AF563" s="103"/>
      <c r="AG563" s="103"/>
      <c r="AH563" s="103"/>
      <c r="AI563" s="103"/>
      <c r="AJ563" s="103"/>
      <c r="AK563" s="103"/>
      <c r="AL563" s="103"/>
      <c r="AM563" s="103"/>
      <c r="AN563" s="103"/>
      <c r="AO563" s="103"/>
      <c r="AP563" s="103">
        <v>60</v>
      </c>
      <c r="AQ563" s="103"/>
      <c r="AR563" s="103"/>
      <c r="AS563" s="103"/>
      <c r="AT563" s="103"/>
      <c r="AU563" s="103"/>
      <c r="AV563" s="103"/>
      <c r="AW563" s="104" t="str">
        <f>HYPERLINK("http://www.openstreetmap.org/?mlat=34.0599&amp;mlon=44.9808&amp;zoom=12#map=12/34.0599/44.9808","Maplink1")</f>
        <v>Maplink1</v>
      </c>
      <c r="AX563" s="104" t="str">
        <f>HYPERLINK("https://www.google.iq/maps/search/+34.0599,44.9808/@34.0599,44.9808,14z?hl=en","Maplink2")</f>
        <v>Maplink2</v>
      </c>
      <c r="AY563" s="104" t="str">
        <f>HYPERLINK("http://www.bing.com/maps/?lvl=14&amp;sty=h&amp;cp=34.0599~44.9808&amp;sp=point.34.0599_44.9808","Maplink3")</f>
        <v>Maplink3</v>
      </c>
    </row>
    <row r="564" spans="1:51" x14ac:dyDescent="0.2">
      <c r="A564" s="102">
        <v>25660</v>
      </c>
      <c r="B564" s="103" t="s">
        <v>32</v>
      </c>
      <c r="C564" s="103" t="s">
        <v>91</v>
      </c>
      <c r="D564" s="103" t="s">
        <v>1213</v>
      </c>
      <c r="E564" s="103" t="s">
        <v>1214</v>
      </c>
      <c r="F564" s="103">
        <v>34.015483581399998</v>
      </c>
      <c r="G564" s="103">
        <v>44.909035382699997</v>
      </c>
      <c r="H564" s="102">
        <v>93</v>
      </c>
      <c r="I564" s="102">
        <v>558</v>
      </c>
      <c r="J564" s="103"/>
      <c r="K564" s="103"/>
      <c r="L564" s="103"/>
      <c r="M564" s="103">
        <v>80</v>
      </c>
      <c r="N564" s="103">
        <v>13</v>
      </c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>
        <v>83</v>
      </c>
      <c r="AA564" s="103"/>
      <c r="AB564" s="103"/>
      <c r="AC564" s="103"/>
      <c r="AD564" s="103"/>
      <c r="AE564" s="103"/>
      <c r="AF564" s="103"/>
      <c r="AG564" s="103"/>
      <c r="AH564" s="103"/>
      <c r="AI564" s="103"/>
      <c r="AJ564" s="103">
        <v>10</v>
      </c>
      <c r="AK564" s="103"/>
      <c r="AL564" s="103"/>
      <c r="AM564" s="103"/>
      <c r="AN564" s="103"/>
      <c r="AO564" s="103"/>
      <c r="AP564" s="103">
        <v>93</v>
      </c>
      <c r="AQ564" s="103"/>
      <c r="AR564" s="103"/>
      <c r="AS564" s="103"/>
      <c r="AT564" s="103"/>
      <c r="AU564" s="103"/>
      <c r="AV564" s="103"/>
      <c r="AW564" s="104" t="str">
        <f>HYPERLINK("http://www.openstreetmap.org/?mlat=34.0155&amp;mlon=44.909&amp;zoom=12#map=12/34.0155/44.909","Maplink1")</f>
        <v>Maplink1</v>
      </c>
      <c r="AX564" s="104" t="str">
        <f>HYPERLINK("https://www.google.iq/maps/search/+34.0155,44.909/@34.0155,44.909,14z?hl=en","Maplink2")</f>
        <v>Maplink2</v>
      </c>
      <c r="AY564" s="104" t="str">
        <f>HYPERLINK("http://www.bing.com/maps/?lvl=14&amp;sty=h&amp;cp=34.0155~44.909&amp;sp=point.34.0155_44.909","Maplink3")</f>
        <v>Maplink3</v>
      </c>
    </row>
    <row r="565" spans="1:51" x14ac:dyDescent="0.2">
      <c r="A565" s="102">
        <v>11355</v>
      </c>
      <c r="B565" s="103" t="s">
        <v>32</v>
      </c>
      <c r="C565" s="103" t="s">
        <v>91</v>
      </c>
      <c r="D565" s="103" t="s">
        <v>1215</v>
      </c>
      <c r="E565" s="103" t="s">
        <v>1216</v>
      </c>
      <c r="F565" s="103">
        <v>34.031413117699998</v>
      </c>
      <c r="G565" s="103">
        <v>44.945310966199997</v>
      </c>
      <c r="H565" s="102">
        <v>312</v>
      </c>
      <c r="I565" s="102">
        <v>1872</v>
      </c>
      <c r="J565" s="103"/>
      <c r="K565" s="103"/>
      <c r="L565" s="103"/>
      <c r="M565" s="103">
        <v>267</v>
      </c>
      <c r="N565" s="103">
        <v>45</v>
      </c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>
        <v>307</v>
      </c>
      <c r="AA565" s="103"/>
      <c r="AB565" s="103"/>
      <c r="AC565" s="103">
        <v>5</v>
      </c>
      <c r="AD565" s="103"/>
      <c r="AE565" s="103"/>
      <c r="AF565" s="103"/>
      <c r="AG565" s="103"/>
      <c r="AH565" s="103"/>
      <c r="AI565" s="103"/>
      <c r="AJ565" s="103"/>
      <c r="AK565" s="103"/>
      <c r="AL565" s="103"/>
      <c r="AM565" s="103"/>
      <c r="AN565" s="103"/>
      <c r="AO565" s="103"/>
      <c r="AP565" s="103">
        <v>312</v>
      </c>
      <c r="AQ565" s="103"/>
      <c r="AR565" s="103"/>
      <c r="AS565" s="103"/>
      <c r="AT565" s="103"/>
      <c r="AU565" s="103"/>
      <c r="AV565" s="103"/>
      <c r="AW565" s="104" t="str">
        <f>HYPERLINK("http://www.openstreetmap.org/?mlat=34.0314&amp;mlon=44.9453&amp;zoom=12#map=12/34.0314/44.9453","Maplink1")</f>
        <v>Maplink1</v>
      </c>
      <c r="AX565" s="104" t="str">
        <f>HYPERLINK("https://www.google.iq/maps/search/+34.0314,44.9453/@34.0314,44.9453,14z?hl=en","Maplink2")</f>
        <v>Maplink2</v>
      </c>
      <c r="AY565" s="104" t="str">
        <f>HYPERLINK("http://www.bing.com/maps/?lvl=14&amp;sty=h&amp;cp=34.0314~44.9453&amp;sp=point.34.0314_44.9453","Maplink3")</f>
        <v>Maplink3</v>
      </c>
    </row>
    <row r="566" spans="1:51" x14ac:dyDescent="0.2">
      <c r="A566" s="102">
        <v>25679</v>
      </c>
      <c r="B566" s="103" t="s">
        <v>32</v>
      </c>
      <c r="C566" s="103" t="s">
        <v>91</v>
      </c>
      <c r="D566" s="103" t="s">
        <v>1217</v>
      </c>
      <c r="E566" s="103" t="s">
        <v>1218</v>
      </c>
      <c r="F566" s="103">
        <v>34.0237590005</v>
      </c>
      <c r="G566" s="103">
        <v>44.9963138687</v>
      </c>
      <c r="H566" s="102">
        <v>140</v>
      </c>
      <c r="I566" s="102">
        <v>840</v>
      </c>
      <c r="J566" s="103"/>
      <c r="K566" s="103"/>
      <c r="L566" s="103"/>
      <c r="M566" s="103">
        <v>140</v>
      </c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>
        <v>140</v>
      </c>
      <c r="AA566" s="103"/>
      <c r="AB566" s="103"/>
      <c r="AC566" s="103"/>
      <c r="AD566" s="103"/>
      <c r="AE566" s="103"/>
      <c r="AF566" s="103"/>
      <c r="AG566" s="103"/>
      <c r="AH566" s="103"/>
      <c r="AI566" s="103"/>
      <c r="AJ566" s="103"/>
      <c r="AK566" s="103"/>
      <c r="AL566" s="103"/>
      <c r="AM566" s="103"/>
      <c r="AN566" s="103"/>
      <c r="AO566" s="103"/>
      <c r="AP566" s="103">
        <v>140</v>
      </c>
      <c r="AQ566" s="103"/>
      <c r="AR566" s="103"/>
      <c r="AS566" s="103"/>
      <c r="AT566" s="103"/>
      <c r="AU566" s="103"/>
      <c r="AV566" s="103"/>
      <c r="AW566" s="104" t="str">
        <f>HYPERLINK("http://www.openstreetmap.org/?mlat=34.0238&amp;mlon=44.9963&amp;zoom=12#map=12/34.0238/44.9963","Maplink1")</f>
        <v>Maplink1</v>
      </c>
      <c r="AX566" s="104" t="str">
        <f>HYPERLINK("https://www.google.iq/maps/search/+34.0238,44.9963/@34.0238,44.9963,14z?hl=en","Maplink2")</f>
        <v>Maplink2</v>
      </c>
      <c r="AY566" s="104" t="str">
        <f>HYPERLINK("http://www.bing.com/maps/?lvl=14&amp;sty=h&amp;cp=34.0238~44.9963&amp;sp=point.34.0238_44.9963","Maplink3")</f>
        <v>Maplink3</v>
      </c>
    </row>
    <row r="567" spans="1:51" x14ac:dyDescent="0.2">
      <c r="A567" s="102">
        <v>25675</v>
      </c>
      <c r="B567" s="103" t="s">
        <v>32</v>
      </c>
      <c r="C567" s="103" t="s">
        <v>91</v>
      </c>
      <c r="D567" s="103" t="s">
        <v>1250</v>
      </c>
      <c r="E567" s="103" t="s">
        <v>1251</v>
      </c>
      <c r="F567" s="103">
        <v>34.011246087499998</v>
      </c>
      <c r="G567" s="103">
        <v>44.900585811500001</v>
      </c>
      <c r="H567" s="102">
        <v>205</v>
      </c>
      <c r="I567" s="102">
        <v>1230</v>
      </c>
      <c r="J567" s="103"/>
      <c r="K567" s="103"/>
      <c r="L567" s="103"/>
      <c r="M567" s="103">
        <v>205</v>
      </c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>
        <v>170</v>
      </c>
      <c r="AA567" s="103"/>
      <c r="AB567" s="103"/>
      <c r="AC567" s="103"/>
      <c r="AD567" s="103"/>
      <c r="AE567" s="103"/>
      <c r="AF567" s="103"/>
      <c r="AG567" s="103"/>
      <c r="AH567" s="103"/>
      <c r="AI567" s="103"/>
      <c r="AJ567" s="103">
        <v>35</v>
      </c>
      <c r="AK567" s="103"/>
      <c r="AL567" s="103"/>
      <c r="AM567" s="103"/>
      <c r="AN567" s="103"/>
      <c r="AO567" s="103"/>
      <c r="AP567" s="103">
        <v>205</v>
      </c>
      <c r="AQ567" s="103"/>
      <c r="AR567" s="103"/>
      <c r="AS567" s="103"/>
      <c r="AT567" s="103"/>
      <c r="AU567" s="103"/>
      <c r="AV567" s="103"/>
      <c r="AW567" s="104" t="str">
        <f>HYPERLINK("http://www.openstreetmap.org/?mlat=34.0112&amp;mlon=44.9006&amp;zoom=12#map=12/34.0112/44.9006","Maplink1")</f>
        <v>Maplink1</v>
      </c>
      <c r="AX567" s="104" t="str">
        <f>HYPERLINK("https://www.google.iq/maps/search/+34.0112,44.9006/@34.0112,44.9006,14z?hl=en","Maplink2")</f>
        <v>Maplink2</v>
      </c>
      <c r="AY567" s="104" t="str">
        <f>HYPERLINK("http://www.bing.com/maps/?lvl=14&amp;sty=h&amp;cp=34.0112~44.9006&amp;sp=point.34.0112_44.9006","Maplink3")</f>
        <v>Maplink3</v>
      </c>
    </row>
    <row r="568" spans="1:51" x14ac:dyDescent="0.2">
      <c r="A568" s="102">
        <v>26073</v>
      </c>
      <c r="B568" s="103" t="s">
        <v>32</v>
      </c>
      <c r="C568" s="103" t="s">
        <v>91</v>
      </c>
      <c r="D568" s="103" t="s">
        <v>1252</v>
      </c>
      <c r="E568" s="103" t="s">
        <v>1253</v>
      </c>
      <c r="F568" s="103">
        <v>33.999200000000002</v>
      </c>
      <c r="G568" s="103">
        <v>44.881619309500003</v>
      </c>
      <c r="H568" s="102">
        <v>25</v>
      </c>
      <c r="I568" s="102">
        <v>150</v>
      </c>
      <c r="J568" s="103"/>
      <c r="K568" s="103"/>
      <c r="L568" s="103"/>
      <c r="M568" s="103">
        <v>25</v>
      </c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>
        <v>25</v>
      </c>
      <c r="AA568" s="103"/>
      <c r="AB568" s="103"/>
      <c r="AC568" s="103"/>
      <c r="AD568" s="103"/>
      <c r="AE568" s="103"/>
      <c r="AF568" s="103"/>
      <c r="AG568" s="103"/>
      <c r="AH568" s="103"/>
      <c r="AI568" s="103"/>
      <c r="AJ568" s="103"/>
      <c r="AK568" s="103"/>
      <c r="AL568" s="103"/>
      <c r="AM568" s="103"/>
      <c r="AN568" s="103"/>
      <c r="AO568" s="103"/>
      <c r="AP568" s="103">
        <v>25</v>
      </c>
      <c r="AQ568" s="103"/>
      <c r="AR568" s="103"/>
      <c r="AS568" s="103"/>
      <c r="AT568" s="103"/>
      <c r="AU568" s="103"/>
      <c r="AV568" s="103"/>
      <c r="AW568" s="104" t="str">
        <f>HYPERLINK("http://www.openstreetmap.org/?mlat=33.9992&amp;mlon=44.8816&amp;zoom=12#map=12/33.9992/44.8816","Maplink1")</f>
        <v>Maplink1</v>
      </c>
      <c r="AX568" s="104" t="str">
        <f>HYPERLINK("https://www.google.iq/maps/search/+33.9992,44.8816/@33.9992,44.8816,14z?hl=en","Maplink2")</f>
        <v>Maplink2</v>
      </c>
      <c r="AY568" s="104" t="str">
        <f>HYPERLINK("http://www.bing.com/maps/?lvl=14&amp;sty=h&amp;cp=33.9992~44.8816&amp;sp=point.33.9992_44.8816","Maplink3")</f>
        <v>Maplink3</v>
      </c>
    </row>
    <row r="569" spans="1:51" x14ac:dyDescent="0.2">
      <c r="A569" s="102">
        <v>32077</v>
      </c>
      <c r="B569" s="103" t="s">
        <v>32</v>
      </c>
      <c r="C569" s="103" t="s">
        <v>91</v>
      </c>
      <c r="D569" s="103" t="s">
        <v>1187</v>
      </c>
      <c r="E569" s="103" t="s">
        <v>1188</v>
      </c>
      <c r="F569" s="103">
        <v>34.011177000000004</v>
      </c>
      <c r="G569" s="103">
        <v>45.001366882699998</v>
      </c>
      <c r="H569" s="102">
        <v>95</v>
      </c>
      <c r="I569" s="102">
        <v>570</v>
      </c>
      <c r="J569" s="103"/>
      <c r="K569" s="103"/>
      <c r="L569" s="103"/>
      <c r="M569" s="103">
        <v>95</v>
      </c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>
        <v>83</v>
      </c>
      <c r="AA569" s="103"/>
      <c r="AB569" s="103"/>
      <c r="AC569" s="103">
        <v>12</v>
      </c>
      <c r="AD569" s="103"/>
      <c r="AE569" s="103"/>
      <c r="AF569" s="103"/>
      <c r="AG569" s="103"/>
      <c r="AH569" s="103"/>
      <c r="AI569" s="103"/>
      <c r="AJ569" s="103"/>
      <c r="AK569" s="103"/>
      <c r="AL569" s="103"/>
      <c r="AM569" s="103"/>
      <c r="AN569" s="103">
        <v>95</v>
      </c>
      <c r="AO569" s="103"/>
      <c r="AP569" s="103"/>
      <c r="AQ569" s="103"/>
      <c r="AR569" s="103"/>
      <c r="AS569" s="103"/>
      <c r="AT569" s="103"/>
      <c r="AU569" s="103"/>
      <c r="AV569" s="103"/>
      <c r="AW569" s="104" t="str">
        <f>HYPERLINK("http://www.openstreetmap.org/?mlat=34.0112&amp;mlon=45.0014&amp;zoom=12#map=12/34.0112/45.0014","Maplink1")</f>
        <v>Maplink1</v>
      </c>
      <c r="AX569" s="104" t="str">
        <f>HYPERLINK("https://www.google.iq/maps/search/+34.0112,45.0014/@34.0112,45.0014,14z?hl=en","Maplink2")</f>
        <v>Maplink2</v>
      </c>
      <c r="AY569" s="104" t="str">
        <f>HYPERLINK("http://www.bing.com/maps/?lvl=14&amp;sty=h&amp;cp=34.0112~45.0014&amp;sp=point.34.0112_45.0014","Maplink3")</f>
        <v>Maplink3</v>
      </c>
    </row>
    <row r="570" spans="1:51" x14ac:dyDescent="0.2">
      <c r="A570" s="102">
        <v>11440</v>
      </c>
      <c r="B570" s="103" t="s">
        <v>32</v>
      </c>
      <c r="C570" s="103" t="s">
        <v>91</v>
      </c>
      <c r="D570" s="103" t="s">
        <v>1165</v>
      </c>
      <c r="E570" s="103" t="s">
        <v>1166</v>
      </c>
      <c r="F570" s="103">
        <v>34.014964209399999</v>
      </c>
      <c r="G570" s="103">
        <v>44.959128405999998</v>
      </c>
      <c r="H570" s="102">
        <v>475</v>
      </c>
      <c r="I570" s="102">
        <v>2850</v>
      </c>
      <c r="J570" s="103"/>
      <c r="K570" s="103"/>
      <c r="L570" s="103"/>
      <c r="M570" s="103">
        <v>420</v>
      </c>
      <c r="N570" s="103">
        <v>55</v>
      </c>
      <c r="O570" s="103"/>
      <c r="P570" s="103"/>
      <c r="Q570" s="103"/>
      <c r="R570" s="103"/>
      <c r="S570" s="103"/>
      <c r="T570" s="103"/>
      <c r="U570" s="103"/>
      <c r="V570" s="103"/>
      <c r="W570" s="103"/>
      <c r="X570" s="103"/>
      <c r="Y570" s="103"/>
      <c r="Z570" s="103">
        <v>468</v>
      </c>
      <c r="AA570" s="103"/>
      <c r="AB570" s="103"/>
      <c r="AC570" s="103"/>
      <c r="AD570" s="103"/>
      <c r="AE570" s="103"/>
      <c r="AF570" s="103"/>
      <c r="AG570" s="103"/>
      <c r="AH570" s="103"/>
      <c r="AI570" s="103"/>
      <c r="AJ570" s="103">
        <v>7</v>
      </c>
      <c r="AK570" s="103"/>
      <c r="AL570" s="103"/>
      <c r="AM570" s="103"/>
      <c r="AN570" s="103"/>
      <c r="AO570" s="103"/>
      <c r="AP570" s="103">
        <v>475</v>
      </c>
      <c r="AQ570" s="103"/>
      <c r="AR570" s="103"/>
      <c r="AS570" s="103"/>
      <c r="AT570" s="103"/>
      <c r="AU570" s="103"/>
      <c r="AV570" s="103"/>
      <c r="AW570" s="104" t="str">
        <f>HYPERLINK("http://www.openstreetmap.org/?mlat=34.015&amp;mlon=44.9591&amp;zoom=12#map=12/34.015/44.9591","Maplink1")</f>
        <v>Maplink1</v>
      </c>
      <c r="AX570" s="104" t="str">
        <f>HYPERLINK("https://www.google.iq/maps/search/+34.015,44.9591/@34.015,44.9591,14z?hl=en","Maplink2")</f>
        <v>Maplink2</v>
      </c>
      <c r="AY570" s="104" t="str">
        <f>HYPERLINK("http://www.bing.com/maps/?lvl=14&amp;sty=h&amp;cp=34.015~44.9591&amp;sp=point.34.015_44.9591","Maplink3")</f>
        <v>Maplink3</v>
      </c>
    </row>
    <row r="571" spans="1:51" x14ac:dyDescent="0.2">
      <c r="A571" s="102">
        <v>26114</v>
      </c>
      <c r="B571" s="103" t="s">
        <v>32</v>
      </c>
      <c r="C571" s="103" t="s">
        <v>91</v>
      </c>
      <c r="D571" s="103" t="s">
        <v>1209</v>
      </c>
      <c r="E571" s="103" t="s">
        <v>1210</v>
      </c>
      <c r="F571" s="103">
        <v>34.057670000000002</v>
      </c>
      <c r="G571" s="103">
        <v>44.982748022800003</v>
      </c>
      <c r="H571" s="102">
        <v>151</v>
      </c>
      <c r="I571" s="102">
        <v>906</v>
      </c>
      <c r="J571" s="103"/>
      <c r="K571" s="103"/>
      <c r="L571" s="103"/>
      <c r="M571" s="103">
        <v>140</v>
      </c>
      <c r="N571" s="103">
        <v>11</v>
      </c>
      <c r="O571" s="103"/>
      <c r="P571" s="103"/>
      <c r="Q571" s="103"/>
      <c r="R571" s="103"/>
      <c r="S571" s="103"/>
      <c r="T571" s="103"/>
      <c r="U571" s="103"/>
      <c r="V571" s="103"/>
      <c r="W571" s="103"/>
      <c r="X571" s="103"/>
      <c r="Y571" s="103"/>
      <c r="Z571" s="103">
        <v>151</v>
      </c>
      <c r="AA571" s="103"/>
      <c r="AB571" s="103"/>
      <c r="AC571" s="103"/>
      <c r="AD571" s="103"/>
      <c r="AE571" s="103"/>
      <c r="AF571" s="103"/>
      <c r="AG571" s="103"/>
      <c r="AH571" s="103"/>
      <c r="AI571" s="103"/>
      <c r="AJ571" s="103"/>
      <c r="AK571" s="103"/>
      <c r="AL571" s="103"/>
      <c r="AM571" s="103"/>
      <c r="AN571" s="103">
        <v>72</v>
      </c>
      <c r="AO571" s="103"/>
      <c r="AP571" s="103">
        <v>79</v>
      </c>
      <c r="AQ571" s="103"/>
      <c r="AR571" s="103"/>
      <c r="AS571" s="103"/>
      <c r="AT571" s="103"/>
      <c r="AU571" s="103"/>
      <c r="AV571" s="103"/>
      <c r="AW571" s="104" t="str">
        <f>HYPERLINK("http://www.openstreetmap.org/?mlat=34.0577&amp;mlon=44.9827&amp;zoom=12#map=12/34.0577/44.9827","Maplink1")</f>
        <v>Maplink1</v>
      </c>
      <c r="AX571" s="104" t="str">
        <f>HYPERLINK("https://www.google.iq/maps/search/+34.0577,44.9827/@34.0577,44.9827,14z?hl=en","Maplink2")</f>
        <v>Maplink2</v>
      </c>
      <c r="AY571" s="104" t="str">
        <f>HYPERLINK("http://www.bing.com/maps/?lvl=14&amp;sty=h&amp;cp=34.0577~44.9827&amp;sp=point.34.0577_44.9827","Maplink3")</f>
        <v>Maplink3</v>
      </c>
    </row>
    <row r="572" spans="1:51" x14ac:dyDescent="0.2">
      <c r="A572" s="102">
        <v>23131</v>
      </c>
      <c r="B572" s="103" t="s">
        <v>32</v>
      </c>
      <c r="C572" s="103" t="s">
        <v>91</v>
      </c>
      <c r="D572" s="103" t="s">
        <v>1211</v>
      </c>
      <c r="E572" s="103" t="s">
        <v>1212</v>
      </c>
      <c r="F572" s="103">
        <v>34.0208901743</v>
      </c>
      <c r="G572" s="103">
        <v>44.9270549063</v>
      </c>
      <c r="H572" s="102">
        <v>55</v>
      </c>
      <c r="I572" s="102">
        <v>330</v>
      </c>
      <c r="J572" s="103"/>
      <c r="K572" s="103"/>
      <c r="L572" s="103"/>
      <c r="M572" s="103">
        <v>40</v>
      </c>
      <c r="N572" s="103">
        <v>15</v>
      </c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  <c r="Z572" s="103">
        <v>55</v>
      </c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3"/>
      <c r="AK572" s="103"/>
      <c r="AL572" s="103"/>
      <c r="AM572" s="103"/>
      <c r="AN572" s="103"/>
      <c r="AO572" s="103"/>
      <c r="AP572" s="103">
        <v>55</v>
      </c>
      <c r="AQ572" s="103"/>
      <c r="AR572" s="103"/>
      <c r="AS572" s="103"/>
      <c r="AT572" s="103"/>
      <c r="AU572" s="103"/>
      <c r="AV572" s="103"/>
      <c r="AW572" s="104" t="str">
        <f>HYPERLINK("http://www.openstreetmap.org/?mlat=34.0209&amp;mlon=44.9271&amp;zoom=12#map=12/34.0209/44.9271","Maplink1")</f>
        <v>Maplink1</v>
      </c>
      <c r="AX572" s="104" t="str">
        <f>HYPERLINK("https://www.google.iq/maps/search/+34.0209,44.9271/@34.0209,44.9271,14z?hl=en","Maplink2")</f>
        <v>Maplink2</v>
      </c>
      <c r="AY572" s="104" t="str">
        <f>HYPERLINK("http://www.bing.com/maps/?lvl=14&amp;sty=h&amp;cp=34.0209~44.9271&amp;sp=point.34.0209_44.9271","Maplink3")</f>
        <v>Maplink3</v>
      </c>
    </row>
    <row r="573" spans="1:51" x14ac:dyDescent="0.2">
      <c r="A573" s="102">
        <v>25803</v>
      </c>
      <c r="B573" s="103" t="s">
        <v>32</v>
      </c>
      <c r="C573" s="103" t="s">
        <v>91</v>
      </c>
      <c r="D573" s="103" t="s">
        <v>1199</v>
      </c>
      <c r="E573" s="103" t="s">
        <v>1200</v>
      </c>
      <c r="F573" s="103">
        <v>33.975389999999997</v>
      </c>
      <c r="G573" s="103">
        <v>44.930241370899999</v>
      </c>
      <c r="H573" s="102">
        <v>23</v>
      </c>
      <c r="I573" s="102">
        <v>138</v>
      </c>
      <c r="J573" s="103"/>
      <c r="K573" s="103"/>
      <c r="L573" s="103"/>
      <c r="M573" s="103">
        <v>23</v>
      </c>
      <c r="N573" s="103"/>
      <c r="O573" s="103"/>
      <c r="P573" s="103"/>
      <c r="Q573" s="103"/>
      <c r="R573" s="103"/>
      <c r="S573" s="103"/>
      <c r="T573" s="103"/>
      <c r="U573" s="103"/>
      <c r="V573" s="103"/>
      <c r="W573" s="103"/>
      <c r="X573" s="103"/>
      <c r="Y573" s="103"/>
      <c r="Z573" s="103">
        <v>23</v>
      </c>
      <c r="AA573" s="103"/>
      <c r="AB573" s="103"/>
      <c r="AC573" s="103"/>
      <c r="AD573" s="103"/>
      <c r="AE573" s="103"/>
      <c r="AF573" s="103"/>
      <c r="AG573" s="103"/>
      <c r="AH573" s="103"/>
      <c r="AI573" s="103"/>
      <c r="AJ573" s="103"/>
      <c r="AK573" s="103"/>
      <c r="AL573" s="103"/>
      <c r="AM573" s="103"/>
      <c r="AN573" s="103">
        <v>23</v>
      </c>
      <c r="AO573" s="103"/>
      <c r="AP573" s="103"/>
      <c r="AQ573" s="103"/>
      <c r="AR573" s="103"/>
      <c r="AS573" s="103"/>
      <c r="AT573" s="103"/>
      <c r="AU573" s="103"/>
      <c r="AV573" s="103"/>
      <c r="AW573" s="104" t="str">
        <f>HYPERLINK("http://www.openstreetmap.org/?mlat=33.9754&amp;mlon=44.9302&amp;zoom=12#map=12/33.9754/44.9302","Maplink1")</f>
        <v>Maplink1</v>
      </c>
      <c r="AX573" s="104" t="str">
        <f>HYPERLINK("https://www.google.iq/maps/search/+33.9754,44.9302/@33.9754,44.9302,14z?hl=en","Maplink2")</f>
        <v>Maplink2</v>
      </c>
      <c r="AY573" s="104" t="str">
        <f>HYPERLINK("http://www.bing.com/maps/?lvl=14&amp;sty=h&amp;cp=33.9754~44.9302&amp;sp=point.33.9754_44.9302","Maplink3")</f>
        <v>Maplink3</v>
      </c>
    </row>
    <row r="574" spans="1:51" x14ac:dyDescent="0.2">
      <c r="A574" s="102">
        <v>26029</v>
      </c>
      <c r="B574" s="103" t="s">
        <v>32</v>
      </c>
      <c r="C574" s="103" t="s">
        <v>91</v>
      </c>
      <c r="D574" s="103" t="s">
        <v>1201</v>
      </c>
      <c r="E574" s="103" t="s">
        <v>1202</v>
      </c>
      <c r="F574" s="103">
        <v>33.991300000000003</v>
      </c>
      <c r="G574" s="103">
        <v>44.867089329599999</v>
      </c>
      <c r="H574" s="102">
        <v>380</v>
      </c>
      <c r="I574" s="102">
        <v>2280</v>
      </c>
      <c r="J574" s="103"/>
      <c r="K574" s="103"/>
      <c r="L574" s="103"/>
      <c r="M574" s="103">
        <v>343</v>
      </c>
      <c r="N574" s="103">
        <v>37</v>
      </c>
      <c r="O574" s="103"/>
      <c r="P574" s="103"/>
      <c r="Q574" s="103"/>
      <c r="R574" s="103"/>
      <c r="S574" s="103"/>
      <c r="T574" s="103"/>
      <c r="U574" s="103"/>
      <c r="V574" s="103"/>
      <c r="W574" s="103"/>
      <c r="X574" s="103"/>
      <c r="Y574" s="103"/>
      <c r="Z574" s="103">
        <v>380</v>
      </c>
      <c r="AA574" s="103"/>
      <c r="AB574" s="103"/>
      <c r="AC574" s="103"/>
      <c r="AD574" s="103"/>
      <c r="AE574" s="103"/>
      <c r="AF574" s="103"/>
      <c r="AG574" s="103"/>
      <c r="AH574" s="103"/>
      <c r="AI574" s="103"/>
      <c r="AJ574" s="103"/>
      <c r="AK574" s="103"/>
      <c r="AL574" s="103"/>
      <c r="AM574" s="103"/>
      <c r="AN574" s="103"/>
      <c r="AO574" s="103"/>
      <c r="AP574" s="103">
        <v>380</v>
      </c>
      <c r="AQ574" s="103"/>
      <c r="AR574" s="103"/>
      <c r="AS574" s="103"/>
      <c r="AT574" s="103"/>
      <c r="AU574" s="103"/>
      <c r="AV574" s="103"/>
      <c r="AW574" s="104" t="str">
        <f>HYPERLINK("http://www.openstreetmap.org/?mlat=33.9913&amp;mlon=44.8671&amp;zoom=12#map=12/33.9913/44.8671","Maplink1")</f>
        <v>Maplink1</v>
      </c>
      <c r="AX574" s="104" t="str">
        <f>HYPERLINK("https://www.google.iq/maps/search/+33.9913,44.8671/@33.9913,44.8671,14z?hl=en","Maplink2")</f>
        <v>Maplink2</v>
      </c>
      <c r="AY574" s="104" t="str">
        <f>HYPERLINK("http://www.bing.com/maps/?lvl=14&amp;sty=h&amp;cp=33.9913~44.8671&amp;sp=point.33.9913_44.8671","Maplink3")</f>
        <v>Maplink3</v>
      </c>
    </row>
    <row r="575" spans="1:51" x14ac:dyDescent="0.2">
      <c r="A575" s="102">
        <v>25668</v>
      </c>
      <c r="B575" s="103" t="s">
        <v>32</v>
      </c>
      <c r="C575" s="103" t="s">
        <v>91</v>
      </c>
      <c r="D575" s="103" t="s">
        <v>1169</v>
      </c>
      <c r="E575" s="103" t="s">
        <v>1170</v>
      </c>
      <c r="F575" s="103">
        <v>34.035789999999999</v>
      </c>
      <c r="G575" s="103">
        <v>44.984364858100001</v>
      </c>
      <c r="H575" s="102">
        <v>82</v>
      </c>
      <c r="I575" s="102">
        <v>492</v>
      </c>
      <c r="J575" s="103"/>
      <c r="K575" s="103"/>
      <c r="L575" s="103"/>
      <c r="M575" s="103">
        <v>82</v>
      </c>
      <c r="N575" s="103"/>
      <c r="O575" s="103"/>
      <c r="P575" s="103"/>
      <c r="Q575" s="103"/>
      <c r="R575" s="103"/>
      <c r="S575" s="103"/>
      <c r="T575" s="103"/>
      <c r="U575" s="103"/>
      <c r="V575" s="103"/>
      <c r="W575" s="103"/>
      <c r="X575" s="103"/>
      <c r="Y575" s="103"/>
      <c r="Z575" s="103">
        <v>76</v>
      </c>
      <c r="AA575" s="103"/>
      <c r="AB575" s="103"/>
      <c r="AC575" s="103">
        <v>6</v>
      </c>
      <c r="AD575" s="103"/>
      <c r="AE575" s="103"/>
      <c r="AF575" s="103"/>
      <c r="AG575" s="103"/>
      <c r="AH575" s="103"/>
      <c r="AI575" s="103"/>
      <c r="AJ575" s="103"/>
      <c r="AK575" s="103"/>
      <c r="AL575" s="103"/>
      <c r="AM575" s="103"/>
      <c r="AN575" s="103"/>
      <c r="AO575" s="103"/>
      <c r="AP575" s="103">
        <v>82</v>
      </c>
      <c r="AQ575" s="103"/>
      <c r="AR575" s="103"/>
      <c r="AS575" s="103"/>
      <c r="AT575" s="103"/>
      <c r="AU575" s="103"/>
      <c r="AV575" s="103"/>
      <c r="AW575" s="104" t="str">
        <f>HYPERLINK("http://www.openstreetmap.org/?mlat=34.0358&amp;mlon=44.9844&amp;zoom=12#map=12/34.0358/44.9844","Maplink1")</f>
        <v>Maplink1</v>
      </c>
      <c r="AX575" s="104" t="str">
        <f>HYPERLINK("https://www.google.iq/maps/search/+34.0358,44.9844/@34.0358,44.9844,14z?hl=en","Maplink2")</f>
        <v>Maplink2</v>
      </c>
      <c r="AY575" s="104" t="str">
        <f>HYPERLINK("http://www.bing.com/maps/?lvl=14&amp;sty=h&amp;cp=34.0358~44.9844&amp;sp=point.34.0358_44.9844","Maplink3")</f>
        <v>Maplink3</v>
      </c>
    </row>
    <row r="576" spans="1:51" x14ac:dyDescent="0.2">
      <c r="A576" s="102">
        <v>27156</v>
      </c>
      <c r="B576" s="103" t="s">
        <v>32</v>
      </c>
      <c r="C576" s="103" t="s">
        <v>91</v>
      </c>
      <c r="D576" s="103" t="s">
        <v>1171</v>
      </c>
      <c r="E576" s="103" t="s">
        <v>1172</v>
      </c>
      <c r="F576" s="103">
        <v>33.992420813000003</v>
      </c>
      <c r="G576" s="103">
        <v>44.935101429500001</v>
      </c>
      <c r="H576" s="102">
        <v>65</v>
      </c>
      <c r="I576" s="102">
        <v>390</v>
      </c>
      <c r="J576" s="103"/>
      <c r="K576" s="103"/>
      <c r="L576" s="103"/>
      <c r="M576" s="103">
        <v>65</v>
      </c>
      <c r="N576" s="103"/>
      <c r="O576" s="103"/>
      <c r="P576" s="103"/>
      <c r="Q576" s="103"/>
      <c r="R576" s="103"/>
      <c r="S576" s="103"/>
      <c r="T576" s="103"/>
      <c r="U576" s="103"/>
      <c r="V576" s="103"/>
      <c r="W576" s="103"/>
      <c r="X576" s="103"/>
      <c r="Y576" s="103"/>
      <c r="Z576" s="103">
        <v>50</v>
      </c>
      <c r="AA576" s="103"/>
      <c r="AB576" s="103"/>
      <c r="AC576" s="103">
        <v>15</v>
      </c>
      <c r="AD576" s="103"/>
      <c r="AE576" s="103"/>
      <c r="AF576" s="103"/>
      <c r="AG576" s="103"/>
      <c r="AH576" s="103"/>
      <c r="AI576" s="103"/>
      <c r="AJ576" s="103"/>
      <c r="AK576" s="103"/>
      <c r="AL576" s="103"/>
      <c r="AM576" s="103"/>
      <c r="AN576" s="103">
        <v>65</v>
      </c>
      <c r="AO576" s="103"/>
      <c r="AP576" s="103"/>
      <c r="AQ576" s="103"/>
      <c r="AR576" s="103"/>
      <c r="AS576" s="103"/>
      <c r="AT576" s="103"/>
      <c r="AU576" s="103"/>
      <c r="AV576" s="103"/>
      <c r="AW576" s="104" t="str">
        <f>HYPERLINK("http://www.openstreetmap.org/?mlat=33.9924&amp;mlon=44.9351&amp;zoom=12#map=12/33.9924/44.9351","Maplink1")</f>
        <v>Maplink1</v>
      </c>
      <c r="AX576" s="104" t="str">
        <f>HYPERLINK("https://www.google.iq/maps/search/+33.9924,44.9351/@33.9924,44.9351,14z?hl=en","Maplink2")</f>
        <v>Maplink2</v>
      </c>
      <c r="AY576" s="104" t="str">
        <f>HYPERLINK("http://www.bing.com/maps/?lvl=14&amp;sty=h&amp;cp=33.9924~44.9351&amp;sp=point.33.9924_44.9351","Maplink3")</f>
        <v>Maplink3</v>
      </c>
    </row>
    <row r="577" spans="1:51" x14ac:dyDescent="0.2">
      <c r="A577" s="102">
        <v>11358</v>
      </c>
      <c r="B577" s="103" t="s">
        <v>32</v>
      </c>
      <c r="C577" s="103" t="s">
        <v>91</v>
      </c>
      <c r="D577" s="103" t="s">
        <v>1219</v>
      </c>
      <c r="E577" s="103" t="s">
        <v>1220</v>
      </c>
      <c r="F577" s="103">
        <v>34.030392921999997</v>
      </c>
      <c r="G577" s="103">
        <v>44.9439774672</v>
      </c>
      <c r="H577" s="102">
        <v>126</v>
      </c>
      <c r="I577" s="102">
        <v>756</v>
      </c>
      <c r="J577" s="103"/>
      <c r="K577" s="103"/>
      <c r="L577" s="103"/>
      <c r="M577" s="103">
        <v>100</v>
      </c>
      <c r="N577" s="103">
        <v>26</v>
      </c>
      <c r="O577" s="103"/>
      <c r="P577" s="103"/>
      <c r="Q577" s="103"/>
      <c r="R577" s="103"/>
      <c r="S577" s="103"/>
      <c r="T577" s="103"/>
      <c r="U577" s="103"/>
      <c r="V577" s="103"/>
      <c r="W577" s="103"/>
      <c r="X577" s="103"/>
      <c r="Y577" s="103"/>
      <c r="Z577" s="103">
        <v>116</v>
      </c>
      <c r="AA577" s="103"/>
      <c r="AB577" s="103"/>
      <c r="AC577" s="103"/>
      <c r="AD577" s="103"/>
      <c r="AE577" s="103"/>
      <c r="AF577" s="103"/>
      <c r="AG577" s="103"/>
      <c r="AH577" s="103"/>
      <c r="AI577" s="103"/>
      <c r="AJ577" s="103">
        <v>10</v>
      </c>
      <c r="AK577" s="103"/>
      <c r="AL577" s="103"/>
      <c r="AM577" s="103"/>
      <c r="AN577" s="103">
        <v>126</v>
      </c>
      <c r="AO577" s="103"/>
      <c r="AP577" s="103"/>
      <c r="AQ577" s="103"/>
      <c r="AR577" s="103"/>
      <c r="AS577" s="103"/>
      <c r="AT577" s="103"/>
      <c r="AU577" s="103"/>
      <c r="AV577" s="103"/>
      <c r="AW577" s="104" t="str">
        <f>HYPERLINK("http://www.openstreetmap.org/?mlat=34.0304&amp;mlon=44.944&amp;zoom=12#map=12/34.0304/44.944","Maplink1")</f>
        <v>Maplink1</v>
      </c>
      <c r="AX577" s="104" t="str">
        <f>HYPERLINK("https://www.google.iq/maps/search/+34.0304,44.944/@34.0304,44.944,14z?hl=en","Maplink2")</f>
        <v>Maplink2</v>
      </c>
      <c r="AY577" s="104" t="str">
        <f>HYPERLINK("http://www.bing.com/maps/?lvl=14&amp;sty=h&amp;cp=34.0304~44.944&amp;sp=point.34.0304_44.944","Maplink3")</f>
        <v>Maplink3</v>
      </c>
    </row>
    <row r="578" spans="1:51" x14ac:dyDescent="0.2">
      <c r="A578" s="102">
        <v>26027</v>
      </c>
      <c r="B578" s="103" t="s">
        <v>32</v>
      </c>
      <c r="C578" s="103" t="s">
        <v>91</v>
      </c>
      <c r="D578" s="103" t="s">
        <v>1221</v>
      </c>
      <c r="E578" s="103" t="s">
        <v>1222</v>
      </c>
      <c r="F578" s="103">
        <v>34.035346450299997</v>
      </c>
      <c r="G578" s="103">
        <v>44.9740975793</v>
      </c>
      <c r="H578" s="102">
        <v>63</v>
      </c>
      <c r="I578" s="102">
        <v>378</v>
      </c>
      <c r="J578" s="103"/>
      <c r="K578" s="103"/>
      <c r="L578" s="103"/>
      <c r="M578" s="103">
        <v>60</v>
      </c>
      <c r="N578" s="103">
        <v>3</v>
      </c>
      <c r="O578" s="103"/>
      <c r="P578" s="103"/>
      <c r="Q578" s="103"/>
      <c r="R578" s="103"/>
      <c r="S578" s="103"/>
      <c r="T578" s="103"/>
      <c r="U578" s="103"/>
      <c r="V578" s="103"/>
      <c r="W578" s="103"/>
      <c r="X578" s="103"/>
      <c r="Y578" s="103"/>
      <c r="Z578" s="103">
        <v>63</v>
      </c>
      <c r="AA578" s="103"/>
      <c r="AB578" s="103"/>
      <c r="AC578" s="103"/>
      <c r="AD578" s="103"/>
      <c r="AE578" s="103"/>
      <c r="AF578" s="103"/>
      <c r="AG578" s="103"/>
      <c r="AH578" s="103"/>
      <c r="AI578" s="103"/>
      <c r="AJ578" s="103"/>
      <c r="AK578" s="103"/>
      <c r="AL578" s="103"/>
      <c r="AM578" s="103"/>
      <c r="AN578" s="103"/>
      <c r="AO578" s="103"/>
      <c r="AP578" s="103">
        <v>63</v>
      </c>
      <c r="AQ578" s="103"/>
      <c r="AR578" s="103"/>
      <c r="AS578" s="103"/>
      <c r="AT578" s="103"/>
      <c r="AU578" s="103"/>
      <c r="AV578" s="103"/>
      <c r="AW578" s="104" t="str">
        <f>HYPERLINK("http://www.openstreetmap.org/?mlat=34.0353&amp;mlon=44.9741&amp;zoom=12#map=12/34.0353/44.9741","Maplink1")</f>
        <v>Maplink1</v>
      </c>
      <c r="AX578" s="104" t="str">
        <f>HYPERLINK("https://www.google.iq/maps/search/+34.0353,44.9741/@34.0353,44.9741,14z?hl=en","Maplink2")</f>
        <v>Maplink2</v>
      </c>
      <c r="AY578" s="104" t="str">
        <f>HYPERLINK("http://www.bing.com/maps/?lvl=14&amp;sty=h&amp;cp=34.0353~44.9741&amp;sp=point.34.0353_44.9741","Maplink3")</f>
        <v>Maplink3</v>
      </c>
    </row>
    <row r="579" spans="1:51" x14ac:dyDescent="0.2">
      <c r="A579" s="102">
        <v>25657</v>
      </c>
      <c r="B579" s="103" t="s">
        <v>32</v>
      </c>
      <c r="C579" s="103" t="s">
        <v>91</v>
      </c>
      <c r="D579" s="103" t="s">
        <v>1254</v>
      </c>
      <c r="E579" s="103" t="s">
        <v>1255</v>
      </c>
      <c r="F579" s="103">
        <v>34.005390760899999</v>
      </c>
      <c r="G579" s="103">
        <v>44.878569921599997</v>
      </c>
      <c r="H579" s="102">
        <v>205</v>
      </c>
      <c r="I579" s="102">
        <v>1230</v>
      </c>
      <c r="J579" s="103"/>
      <c r="K579" s="103"/>
      <c r="L579" s="103"/>
      <c r="M579" s="103">
        <v>190</v>
      </c>
      <c r="N579" s="103">
        <v>15</v>
      </c>
      <c r="O579" s="103"/>
      <c r="P579" s="103"/>
      <c r="Q579" s="103"/>
      <c r="R579" s="103"/>
      <c r="S579" s="103"/>
      <c r="T579" s="103"/>
      <c r="U579" s="103"/>
      <c r="V579" s="103"/>
      <c r="W579" s="103"/>
      <c r="X579" s="103"/>
      <c r="Y579" s="103"/>
      <c r="Z579" s="103">
        <v>180</v>
      </c>
      <c r="AA579" s="103"/>
      <c r="AB579" s="103"/>
      <c r="AC579" s="103">
        <v>25</v>
      </c>
      <c r="AD579" s="103"/>
      <c r="AE579" s="103"/>
      <c r="AF579" s="103"/>
      <c r="AG579" s="103"/>
      <c r="AH579" s="103"/>
      <c r="AI579" s="103"/>
      <c r="AJ579" s="103"/>
      <c r="AK579" s="103"/>
      <c r="AL579" s="103"/>
      <c r="AM579" s="103"/>
      <c r="AN579" s="103"/>
      <c r="AO579" s="103"/>
      <c r="AP579" s="103">
        <v>205</v>
      </c>
      <c r="AQ579" s="103"/>
      <c r="AR579" s="103"/>
      <c r="AS579" s="103"/>
      <c r="AT579" s="103"/>
      <c r="AU579" s="103"/>
      <c r="AV579" s="103"/>
      <c r="AW579" s="104" t="str">
        <f>HYPERLINK("http://www.openstreetmap.org/?mlat=34.0054&amp;mlon=44.8786&amp;zoom=12#map=12/34.0054/44.8786","Maplink1")</f>
        <v>Maplink1</v>
      </c>
      <c r="AX579" s="104" t="str">
        <f>HYPERLINK("https://www.google.iq/maps/search/+34.0054,44.8786/@34.0054,44.8786,14z?hl=en","Maplink2")</f>
        <v>Maplink2</v>
      </c>
      <c r="AY579" s="104" t="str">
        <f>HYPERLINK("http://www.bing.com/maps/?lvl=14&amp;sty=h&amp;cp=34.0054~44.8786&amp;sp=point.34.0054_44.8786","Maplink3")</f>
        <v>Maplink3</v>
      </c>
    </row>
    <row r="580" spans="1:51" x14ac:dyDescent="0.2">
      <c r="A580" s="102">
        <v>26032</v>
      </c>
      <c r="B580" s="103" t="s">
        <v>32</v>
      </c>
      <c r="C580" s="103" t="s">
        <v>91</v>
      </c>
      <c r="D580" s="103" t="s">
        <v>1256</v>
      </c>
      <c r="E580" s="103" t="s">
        <v>1257</v>
      </c>
      <c r="F580" s="103">
        <v>34.0260921</v>
      </c>
      <c r="G580" s="103">
        <v>44.9368354</v>
      </c>
      <c r="H580" s="102">
        <v>54</v>
      </c>
      <c r="I580" s="102">
        <v>324</v>
      </c>
      <c r="J580" s="103"/>
      <c r="K580" s="103"/>
      <c r="L580" s="103"/>
      <c r="M580" s="103">
        <v>54</v>
      </c>
      <c r="N580" s="103"/>
      <c r="O580" s="103"/>
      <c r="P580" s="103"/>
      <c r="Q580" s="103"/>
      <c r="R580" s="103"/>
      <c r="S580" s="103"/>
      <c r="T580" s="103"/>
      <c r="U580" s="103"/>
      <c r="V580" s="103"/>
      <c r="W580" s="103"/>
      <c r="X580" s="103"/>
      <c r="Y580" s="103"/>
      <c r="Z580" s="103">
        <v>54</v>
      </c>
      <c r="AA580" s="103"/>
      <c r="AB580" s="103"/>
      <c r="AC580" s="103"/>
      <c r="AD580" s="103"/>
      <c r="AE580" s="103"/>
      <c r="AF580" s="103"/>
      <c r="AG580" s="103"/>
      <c r="AH580" s="103"/>
      <c r="AI580" s="103"/>
      <c r="AJ580" s="103"/>
      <c r="AK580" s="103"/>
      <c r="AL580" s="103"/>
      <c r="AM580" s="103"/>
      <c r="AN580" s="103"/>
      <c r="AO580" s="103"/>
      <c r="AP580" s="103">
        <v>54</v>
      </c>
      <c r="AQ580" s="103"/>
      <c r="AR580" s="103"/>
      <c r="AS580" s="103"/>
      <c r="AT580" s="103"/>
      <c r="AU580" s="103"/>
      <c r="AV580" s="103"/>
      <c r="AW580" s="104" t="str">
        <f>HYPERLINK("http://www.openstreetmap.org/?mlat=34.0261&amp;mlon=44.9368&amp;zoom=12#map=12/34.0261/44.9368","Maplink1")</f>
        <v>Maplink1</v>
      </c>
      <c r="AX580" s="104" t="str">
        <f>HYPERLINK("https://www.google.iq/maps/search/+34.0261,44.9368/@34.0261,44.9368,14z?hl=en","Maplink2")</f>
        <v>Maplink2</v>
      </c>
      <c r="AY580" s="104" t="str">
        <f>HYPERLINK("http://www.bing.com/maps/?lvl=14&amp;sty=h&amp;cp=34.0261~44.9368&amp;sp=point.34.0261_44.9368","Maplink3")</f>
        <v>Maplink3</v>
      </c>
    </row>
    <row r="581" spans="1:51" x14ac:dyDescent="0.2">
      <c r="A581" s="102">
        <v>25664</v>
      </c>
      <c r="B581" s="103" t="s">
        <v>32</v>
      </c>
      <c r="C581" s="103" t="s">
        <v>91</v>
      </c>
      <c r="D581" s="103" t="s">
        <v>1246</v>
      </c>
      <c r="E581" s="103" t="s">
        <v>1247</v>
      </c>
      <c r="F581" s="103">
        <v>34.005588799400002</v>
      </c>
      <c r="G581" s="103">
        <v>44.879775596400002</v>
      </c>
      <c r="H581" s="102">
        <v>215</v>
      </c>
      <c r="I581" s="102">
        <v>1290</v>
      </c>
      <c r="J581" s="103"/>
      <c r="K581" s="103"/>
      <c r="L581" s="103"/>
      <c r="M581" s="103">
        <v>156</v>
      </c>
      <c r="N581" s="103">
        <v>59</v>
      </c>
      <c r="O581" s="103"/>
      <c r="P581" s="103"/>
      <c r="Q581" s="103"/>
      <c r="R581" s="103"/>
      <c r="S581" s="103"/>
      <c r="T581" s="103"/>
      <c r="U581" s="103"/>
      <c r="V581" s="103"/>
      <c r="W581" s="103"/>
      <c r="X581" s="103"/>
      <c r="Y581" s="103"/>
      <c r="Z581" s="103">
        <v>165</v>
      </c>
      <c r="AA581" s="103"/>
      <c r="AB581" s="103"/>
      <c r="AC581" s="103"/>
      <c r="AD581" s="103"/>
      <c r="AE581" s="103"/>
      <c r="AF581" s="103"/>
      <c r="AG581" s="103"/>
      <c r="AH581" s="103"/>
      <c r="AI581" s="103"/>
      <c r="AJ581" s="103">
        <v>50</v>
      </c>
      <c r="AK581" s="103"/>
      <c r="AL581" s="103"/>
      <c r="AM581" s="103"/>
      <c r="AN581" s="103"/>
      <c r="AO581" s="103"/>
      <c r="AP581" s="103">
        <v>215</v>
      </c>
      <c r="AQ581" s="103"/>
      <c r="AR581" s="103"/>
      <c r="AS581" s="103"/>
      <c r="AT581" s="103"/>
      <c r="AU581" s="103"/>
      <c r="AV581" s="103"/>
      <c r="AW581" s="104" t="str">
        <f>HYPERLINK("http://www.openstreetmap.org/?mlat=34.0056&amp;mlon=44.8798&amp;zoom=12#map=12/34.0056/44.8798","Maplink1")</f>
        <v>Maplink1</v>
      </c>
      <c r="AX581" s="104" t="str">
        <f>HYPERLINK("https://www.google.iq/maps/search/+34.0056,44.8798/@34.0056,44.8798,14z?hl=en","Maplink2")</f>
        <v>Maplink2</v>
      </c>
      <c r="AY581" s="104" t="str">
        <f>HYPERLINK("http://www.bing.com/maps/?lvl=14&amp;sty=h&amp;cp=34.0056~44.8798&amp;sp=point.34.0056_44.8798","Maplink3")</f>
        <v>Maplink3</v>
      </c>
    </row>
    <row r="582" spans="1:51" x14ac:dyDescent="0.2">
      <c r="A582" s="102">
        <v>11329</v>
      </c>
      <c r="B582" s="103" t="s">
        <v>32</v>
      </c>
      <c r="C582" s="103" t="s">
        <v>91</v>
      </c>
      <c r="D582" s="103" t="s">
        <v>1248</v>
      </c>
      <c r="E582" s="103" t="s">
        <v>1249</v>
      </c>
      <c r="F582" s="103">
        <v>33.9988744045</v>
      </c>
      <c r="G582" s="103">
        <v>44.941704715999997</v>
      </c>
      <c r="H582" s="102">
        <v>160</v>
      </c>
      <c r="I582" s="102">
        <v>960</v>
      </c>
      <c r="J582" s="103"/>
      <c r="K582" s="103"/>
      <c r="L582" s="103"/>
      <c r="M582" s="103">
        <v>95</v>
      </c>
      <c r="N582" s="103">
        <v>65</v>
      </c>
      <c r="O582" s="103"/>
      <c r="P582" s="103"/>
      <c r="Q582" s="103"/>
      <c r="R582" s="103"/>
      <c r="S582" s="103"/>
      <c r="T582" s="103"/>
      <c r="U582" s="103"/>
      <c r="V582" s="103"/>
      <c r="W582" s="103"/>
      <c r="X582" s="103"/>
      <c r="Y582" s="103"/>
      <c r="Z582" s="103">
        <v>130</v>
      </c>
      <c r="AA582" s="103"/>
      <c r="AB582" s="103"/>
      <c r="AC582" s="103">
        <v>30</v>
      </c>
      <c r="AD582" s="103"/>
      <c r="AE582" s="103"/>
      <c r="AF582" s="103"/>
      <c r="AG582" s="103"/>
      <c r="AH582" s="103"/>
      <c r="AI582" s="103"/>
      <c r="AJ582" s="103"/>
      <c r="AK582" s="103"/>
      <c r="AL582" s="103"/>
      <c r="AM582" s="103"/>
      <c r="AN582" s="103">
        <v>20</v>
      </c>
      <c r="AO582" s="103"/>
      <c r="AP582" s="103">
        <v>140</v>
      </c>
      <c r="AQ582" s="103"/>
      <c r="AR582" s="103"/>
      <c r="AS582" s="103"/>
      <c r="AT582" s="103"/>
      <c r="AU582" s="103"/>
      <c r="AV582" s="103"/>
      <c r="AW582" s="104" t="str">
        <f>HYPERLINK("http://www.openstreetmap.org/?mlat=33.9989&amp;mlon=44.9417&amp;zoom=12#map=12/33.9989/44.9417","Maplink1")</f>
        <v>Maplink1</v>
      </c>
      <c r="AX582" s="104" t="str">
        <f>HYPERLINK("https://www.google.iq/maps/search/+33.9989,44.9417/@33.9989,44.9417,14z?hl=en","Maplink2")</f>
        <v>Maplink2</v>
      </c>
      <c r="AY582" s="104" t="str">
        <f>HYPERLINK("http://www.bing.com/maps/?lvl=14&amp;sty=h&amp;cp=33.9989~44.9417&amp;sp=point.33.9989_44.9417","Maplink3")</f>
        <v>Maplink3</v>
      </c>
    </row>
    <row r="583" spans="1:51" x14ac:dyDescent="0.2">
      <c r="A583" s="102">
        <v>26030</v>
      </c>
      <c r="B583" s="103" t="s">
        <v>32</v>
      </c>
      <c r="C583" s="103" t="s">
        <v>91</v>
      </c>
      <c r="D583" s="103" t="s">
        <v>1258</v>
      </c>
      <c r="E583" s="103" t="s">
        <v>1259</v>
      </c>
      <c r="F583" s="103">
        <v>34.030996978399997</v>
      </c>
      <c r="G583" s="103">
        <v>44.948461749700002</v>
      </c>
      <c r="H583" s="102">
        <v>169</v>
      </c>
      <c r="I583" s="102">
        <v>1014</v>
      </c>
      <c r="J583" s="103"/>
      <c r="K583" s="103"/>
      <c r="L583" s="103"/>
      <c r="M583" s="103">
        <v>150</v>
      </c>
      <c r="N583" s="103">
        <v>19</v>
      </c>
      <c r="O583" s="103"/>
      <c r="P583" s="103"/>
      <c r="Q583" s="103"/>
      <c r="R583" s="103"/>
      <c r="S583" s="103"/>
      <c r="T583" s="103"/>
      <c r="U583" s="103"/>
      <c r="V583" s="103"/>
      <c r="W583" s="103"/>
      <c r="X583" s="103"/>
      <c r="Y583" s="103"/>
      <c r="Z583" s="103">
        <v>169</v>
      </c>
      <c r="AA583" s="103"/>
      <c r="AB583" s="103"/>
      <c r="AC583" s="103"/>
      <c r="AD583" s="103"/>
      <c r="AE583" s="103"/>
      <c r="AF583" s="103"/>
      <c r="AG583" s="103"/>
      <c r="AH583" s="103"/>
      <c r="AI583" s="103"/>
      <c r="AJ583" s="103"/>
      <c r="AK583" s="103"/>
      <c r="AL583" s="103"/>
      <c r="AM583" s="103"/>
      <c r="AN583" s="103"/>
      <c r="AO583" s="103"/>
      <c r="AP583" s="103">
        <v>169</v>
      </c>
      <c r="AQ583" s="103"/>
      <c r="AR583" s="103"/>
      <c r="AS583" s="103"/>
      <c r="AT583" s="103"/>
      <c r="AU583" s="103"/>
      <c r="AV583" s="103"/>
      <c r="AW583" s="104" t="str">
        <f>HYPERLINK("http://www.openstreetmap.org/?mlat=34.031&amp;mlon=44.9485&amp;zoom=12#map=12/34.031/44.9485","Maplink1")</f>
        <v>Maplink1</v>
      </c>
      <c r="AX583" s="104" t="str">
        <f>HYPERLINK("https://www.google.iq/maps/search/+34.031,44.9485/@34.031,44.9485,14z?hl=en","Maplink2")</f>
        <v>Maplink2</v>
      </c>
      <c r="AY583" s="104" t="str">
        <f>HYPERLINK("http://www.bing.com/maps/?lvl=14&amp;sty=h&amp;cp=34.031~44.9485&amp;sp=point.34.031_44.9485","Maplink3")</f>
        <v>Maplink3</v>
      </c>
    </row>
    <row r="584" spans="1:51" x14ac:dyDescent="0.2">
      <c r="A584" s="102">
        <v>11442</v>
      </c>
      <c r="B584" s="103" t="s">
        <v>32</v>
      </c>
      <c r="C584" s="103" t="s">
        <v>91</v>
      </c>
      <c r="D584" s="103" t="s">
        <v>1260</v>
      </c>
      <c r="E584" s="103" t="s">
        <v>1261</v>
      </c>
      <c r="F584" s="103">
        <v>34.052563999999997</v>
      </c>
      <c r="G584" s="103">
        <v>44.931855434399999</v>
      </c>
      <c r="H584" s="102">
        <v>390</v>
      </c>
      <c r="I584" s="102">
        <v>2340</v>
      </c>
      <c r="J584" s="103"/>
      <c r="K584" s="103"/>
      <c r="L584" s="103"/>
      <c r="M584" s="103">
        <v>135</v>
      </c>
      <c r="N584" s="103">
        <v>255</v>
      </c>
      <c r="O584" s="103"/>
      <c r="P584" s="103"/>
      <c r="Q584" s="103"/>
      <c r="R584" s="103"/>
      <c r="S584" s="103"/>
      <c r="T584" s="103"/>
      <c r="U584" s="103"/>
      <c r="V584" s="103"/>
      <c r="W584" s="103"/>
      <c r="X584" s="103"/>
      <c r="Y584" s="103"/>
      <c r="Z584" s="103">
        <v>310</v>
      </c>
      <c r="AA584" s="103"/>
      <c r="AB584" s="103"/>
      <c r="AC584" s="103">
        <v>80</v>
      </c>
      <c r="AD584" s="103"/>
      <c r="AE584" s="103"/>
      <c r="AF584" s="103"/>
      <c r="AG584" s="103"/>
      <c r="AH584" s="103"/>
      <c r="AI584" s="103"/>
      <c r="AJ584" s="103"/>
      <c r="AK584" s="103"/>
      <c r="AL584" s="103"/>
      <c r="AM584" s="103"/>
      <c r="AN584" s="103">
        <v>390</v>
      </c>
      <c r="AO584" s="103"/>
      <c r="AP584" s="103"/>
      <c r="AQ584" s="103"/>
      <c r="AR584" s="103"/>
      <c r="AS584" s="103"/>
      <c r="AT584" s="103"/>
      <c r="AU584" s="103"/>
      <c r="AV584" s="103"/>
      <c r="AW584" s="104" t="str">
        <f>HYPERLINK("http://www.openstreetmap.org/?mlat=34.0526&amp;mlon=44.9319&amp;zoom=12#map=12/34.0526/44.9319","Maplink1")</f>
        <v>Maplink1</v>
      </c>
      <c r="AX584" s="104" t="str">
        <f>HYPERLINK("https://www.google.iq/maps/search/+34.0526,44.9319/@34.0526,44.9319,14z?hl=en","Maplink2")</f>
        <v>Maplink2</v>
      </c>
      <c r="AY584" s="104" t="str">
        <f>HYPERLINK("http://www.bing.com/maps/?lvl=14&amp;sty=h&amp;cp=34.0526~44.9319&amp;sp=point.34.0526_44.9319","Maplink3")</f>
        <v>Maplink3</v>
      </c>
    </row>
    <row r="585" spans="1:51" x14ac:dyDescent="0.2">
      <c r="A585" s="102">
        <v>25981</v>
      </c>
      <c r="B585" s="103" t="s">
        <v>32</v>
      </c>
      <c r="C585" s="103" t="s">
        <v>91</v>
      </c>
      <c r="D585" s="103" t="s">
        <v>1226</v>
      </c>
      <c r="E585" s="103" t="s">
        <v>1227</v>
      </c>
      <c r="F585" s="103">
        <v>34.042465200000002</v>
      </c>
      <c r="G585" s="103">
        <v>44.9594278</v>
      </c>
      <c r="H585" s="102">
        <v>326</v>
      </c>
      <c r="I585" s="102">
        <v>1956</v>
      </c>
      <c r="J585" s="103"/>
      <c r="K585" s="103"/>
      <c r="L585" s="103"/>
      <c r="M585" s="103">
        <v>300</v>
      </c>
      <c r="N585" s="103">
        <v>26</v>
      </c>
      <c r="O585" s="103"/>
      <c r="P585" s="103"/>
      <c r="Q585" s="103"/>
      <c r="R585" s="103"/>
      <c r="S585" s="103"/>
      <c r="T585" s="103"/>
      <c r="U585" s="103"/>
      <c r="V585" s="103"/>
      <c r="W585" s="103"/>
      <c r="X585" s="103"/>
      <c r="Y585" s="103"/>
      <c r="Z585" s="103">
        <v>244</v>
      </c>
      <c r="AA585" s="103"/>
      <c r="AB585" s="103"/>
      <c r="AC585" s="103">
        <v>82</v>
      </c>
      <c r="AD585" s="103"/>
      <c r="AE585" s="103"/>
      <c r="AF585" s="103"/>
      <c r="AG585" s="103"/>
      <c r="AH585" s="103"/>
      <c r="AI585" s="103"/>
      <c r="AJ585" s="103"/>
      <c r="AK585" s="103"/>
      <c r="AL585" s="103"/>
      <c r="AM585" s="103"/>
      <c r="AN585" s="103">
        <v>70</v>
      </c>
      <c r="AO585" s="103"/>
      <c r="AP585" s="103">
        <v>256</v>
      </c>
      <c r="AQ585" s="103"/>
      <c r="AR585" s="103"/>
      <c r="AS585" s="103"/>
      <c r="AT585" s="103"/>
      <c r="AU585" s="103"/>
      <c r="AV585" s="103"/>
      <c r="AW585" s="104" t="str">
        <f>HYPERLINK("http://www.openstreetmap.org/?mlat=34.0425&amp;mlon=44.9594&amp;zoom=12#map=12/34.0425/44.9594","Maplink1")</f>
        <v>Maplink1</v>
      </c>
      <c r="AX585" s="104" t="str">
        <f>HYPERLINK("https://www.google.iq/maps/search/+34.0425,44.9594/@34.0425,44.9594,14z?hl=en","Maplink2")</f>
        <v>Maplink2</v>
      </c>
      <c r="AY585" s="104" t="str">
        <f>HYPERLINK("http://www.bing.com/maps/?lvl=14&amp;sty=h&amp;cp=34.0425~44.9594&amp;sp=point.34.0425_44.9594","Maplink3")</f>
        <v>Maplink3</v>
      </c>
    </row>
    <row r="586" spans="1:51" x14ac:dyDescent="0.2">
      <c r="A586" s="102">
        <v>27155</v>
      </c>
      <c r="B586" s="103" t="s">
        <v>32</v>
      </c>
      <c r="C586" s="103" t="s">
        <v>91</v>
      </c>
      <c r="D586" s="103" t="s">
        <v>1228</v>
      </c>
      <c r="E586" s="103" t="s">
        <v>1229</v>
      </c>
      <c r="F586" s="103">
        <v>33.9900964343</v>
      </c>
      <c r="G586" s="103">
        <v>44.937278876800001</v>
      </c>
      <c r="H586" s="102">
        <v>75</v>
      </c>
      <c r="I586" s="102">
        <v>450</v>
      </c>
      <c r="J586" s="103"/>
      <c r="K586" s="103"/>
      <c r="L586" s="103"/>
      <c r="M586" s="103">
        <v>70</v>
      </c>
      <c r="N586" s="103">
        <v>5</v>
      </c>
      <c r="O586" s="103"/>
      <c r="P586" s="103"/>
      <c r="Q586" s="103"/>
      <c r="R586" s="103"/>
      <c r="S586" s="103"/>
      <c r="T586" s="103"/>
      <c r="U586" s="103"/>
      <c r="V586" s="103"/>
      <c r="W586" s="103"/>
      <c r="X586" s="103"/>
      <c r="Y586" s="103"/>
      <c r="Z586" s="103">
        <v>60</v>
      </c>
      <c r="AA586" s="103"/>
      <c r="AB586" s="103"/>
      <c r="AC586" s="103">
        <v>15</v>
      </c>
      <c r="AD586" s="103"/>
      <c r="AE586" s="103"/>
      <c r="AF586" s="103"/>
      <c r="AG586" s="103"/>
      <c r="AH586" s="103"/>
      <c r="AI586" s="103"/>
      <c r="AJ586" s="103"/>
      <c r="AK586" s="103"/>
      <c r="AL586" s="103"/>
      <c r="AM586" s="103"/>
      <c r="AN586" s="103">
        <v>60</v>
      </c>
      <c r="AO586" s="103"/>
      <c r="AP586" s="103">
        <v>15</v>
      </c>
      <c r="AQ586" s="103"/>
      <c r="AR586" s="103"/>
      <c r="AS586" s="103"/>
      <c r="AT586" s="103"/>
      <c r="AU586" s="103"/>
      <c r="AV586" s="103"/>
      <c r="AW586" s="104" t="str">
        <f>HYPERLINK("http://www.openstreetmap.org/?mlat=33.9901&amp;mlon=44.9373&amp;zoom=12#map=12/33.9901/44.9373","Maplink1")</f>
        <v>Maplink1</v>
      </c>
      <c r="AX586" s="104" t="str">
        <f>HYPERLINK("https://www.google.iq/maps/search/+33.9901,44.9373/@33.9901,44.9373,14z?hl=en","Maplink2")</f>
        <v>Maplink2</v>
      </c>
      <c r="AY586" s="104" t="str">
        <f>HYPERLINK("http://www.bing.com/maps/?lvl=14&amp;sty=h&amp;cp=33.9901~44.9373&amp;sp=point.33.9901_44.9373","Maplink3")</f>
        <v>Maplink3</v>
      </c>
    </row>
    <row r="587" spans="1:51" x14ac:dyDescent="0.2">
      <c r="A587" s="102">
        <v>10954</v>
      </c>
      <c r="B587" s="103" t="s">
        <v>32</v>
      </c>
      <c r="C587" s="103" t="s">
        <v>91</v>
      </c>
      <c r="D587" s="103" t="s">
        <v>1230</v>
      </c>
      <c r="E587" s="103" t="s">
        <v>1231</v>
      </c>
      <c r="F587" s="103">
        <v>33.9704142</v>
      </c>
      <c r="G587" s="103">
        <v>44.912626299999999</v>
      </c>
      <c r="H587" s="102">
        <v>131</v>
      </c>
      <c r="I587" s="102">
        <v>786</v>
      </c>
      <c r="J587" s="103"/>
      <c r="K587" s="103"/>
      <c r="L587" s="103"/>
      <c r="M587" s="103">
        <v>131</v>
      </c>
      <c r="N587" s="103"/>
      <c r="O587" s="103"/>
      <c r="P587" s="103"/>
      <c r="Q587" s="103"/>
      <c r="R587" s="103"/>
      <c r="S587" s="103"/>
      <c r="T587" s="103"/>
      <c r="U587" s="103"/>
      <c r="V587" s="103"/>
      <c r="W587" s="103"/>
      <c r="X587" s="103"/>
      <c r="Y587" s="103"/>
      <c r="Z587" s="103">
        <v>131</v>
      </c>
      <c r="AA587" s="103"/>
      <c r="AB587" s="103"/>
      <c r="AC587" s="103"/>
      <c r="AD587" s="103"/>
      <c r="AE587" s="103"/>
      <c r="AF587" s="103"/>
      <c r="AG587" s="103"/>
      <c r="AH587" s="103"/>
      <c r="AI587" s="103"/>
      <c r="AJ587" s="103"/>
      <c r="AK587" s="103"/>
      <c r="AL587" s="103"/>
      <c r="AM587" s="103"/>
      <c r="AN587" s="103"/>
      <c r="AO587" s="103"/>
      <c r="AP587" s="103"/>
      <c r="AQ587" s="103"/>
      <c r="AR587" s="103"/>
      <c r="AS587" s="103"/>
      <c r="AT587" s="103"/>
      <c r="AU587" s="103">
        <v>131</v>
      </c>
      <c r="AV587" s="103"/>
      <c r="AW587" s="104" t="str">
        <f>HYPERLINK("http://www.openstreetmap.org/?mlat=33.9704&amp;mlon=44.9126&amp;zoom=12#map=12/33.9704/44.9126","Maplink1")</f>
        <v>Maplink1</v>
      </c>
      <c r="AX587" s="104" t="str">
        <f>HYPERLINK("https://www.google.iq/maps/search/+33.9704,44.9126/@33.9704,44.9126,14z?hl=en","Maplink2")</f>
        <v>Maplink2</v>
      </c>
      <c r="AY587" s="104" t="str">
        <f>HYPERLINK("http://www.bing.com/maps/?lvl=14&amp;sty=h&amp;cp=33.9704~44.9126&amp;sp=point.33.9704_44.9126","Maplink3")</f>
        <v>Maplink3</v>
      </c>
    </row>
    <row r="588" spans="1:51" x14ac:dyDescent="0.2">
      <c r="A588" s="102">
        <v>25624</v>
      </c>
      <c r="B588" s="103" t="s">
        <v>32</v>
      </c>
      <c r="C588" s="103" t="s">
        <v>91</v>
      </c>
      <c r="D588" s="103" t="s">
        <v>1189</v>
      </c>
      <c r="E588" s="103" t="s">
        <v>1190</v>
      </c>
      <c r="F588" s="103">
        <v>34.014935721599997</v>
      </c>
      <c r="G588" s="103">
        <v>45.016077407899999</v>
      </c>
      <c r="H588" s="102">
        <v>8</v>
      </c>
      <c r="I588" s="102">
        <v>48</v>
      </c>
      <c r="J588" s="103"/>
      <c r="K588" s="103"/>
      <c r="L588" s="103"/>
      <c r="M588" s="103">
        <v>8</v>
      </c>
      <c r="N588" s="103"/>
      <c r="O588" s="103"/>
      <c r="P588" s="103"/>
      <c r="Q588" s="103"/>
      <c r="R588" s="103"/>
      <c r="S588" s="103"/>
      <c r="T588" s="103"/>
      <c r="U588" s="103"/>
      <c r="V588" s="103"/>
      <c r="W588" s="103"/>
      <c r="X588" s="103"/>
      <c r="Y588" s="103"/>
      <c r="Z588" s="103"/>
      <c r="AA588" s="103"/>
      <c r="AB588" s="103"/>
      <c r="AC588" s="103">
        <v>8</v>
      </c>
      <c r="AD588" s="103"/>
      <c r="AE588" s="103"/>
      <c r="AF588" s="103"/>
      <c r="AG588" s="103"/>
      <c r="AH588" s="103"/>
      <c r="AI588" s="103"/>
      <c r="AJ588" s="103"/>
      <c r="AK588" s="103"/>
      <c r="AL588" s="103"/>
      <c r="AM588" s="103"/>
      <c r="AN588" s="103">
        <v>8</v>
      </c>
      <c r="AO588" s="103"/>
      <c r="AP588" s="103"/>
      <c r="AQ588" s="103"/>
      <c r="AR588" s="103"/>
      <c r="AS588" s="103"/>
      <c r="AT588" s="103"/>
      <c r="AU588" s="103"/>
      <c r="AV588" s="103"/>
      <c r="AW588" s="104" t="str">
        <f>HYPERLINK("http://www.openstreetmap.org/?mlat=34.0149&amp;mlon=45.0161&amp;zoom=12#map=12/34.0149/45.0161","Maplink1")</f>
        <v>Maplink1</v>
      </c>
      <c r="AX588" s="104" t="str">
        <f>HYPERLINK("https://www.google.iq/maps/search/+34.0149,45.0161/@34.0149,45.0161,14z?hl=en","Maplink2")</f>
        <v>Maplink2</v>
      </c>
      <c r="AY588" s="104" t="str">
        <f>HYPERLINK("http://www.bing.com/maps/?lvl=14&amp;sty=h&amp;cp=34.0149~45.0161&amp;sp=point.34.0149_45.0161","Maplink3")</f>
        <v>Maplink3</v>
      </c>
    </row>
    <row r="589" spans="1:51" x14ac:dyDescent="0.2">
      <c r="A589" s="102">
        <v>11312</v>
      </c>
      <c r="B589" s="103" t="s">
        <v>32</v>
      </c>
      <c r="C589" s="103" t="s">
        <v>91</v>
      </c>
      <c r="D589" s="103" t="s">
        <v>1191</v>
      </c>
      <c r="E589" s="103" t="s">
        <v>1192</v>
      </c>
      <c r="F589" s="103">
        <v>34.058529999999998</v>
      </c>
      <c r="G589" s="103">
        <v>44.980476607900002</v>
      </c>
      <c r="H589" s="102">
        <v>122</v>
      </c>
      <c r="I589" s="102">
        <v>732</v>
      </c>
      <c r="J589" s="103"/>
      <c r="K589" s="103"/>
      <c r="L589" s="103"/>
      <c r="M589" s="103">
        <v>88</v>
      </c>
      <c r="N589" s="103">
        <v>34</v>
      </c>
      <c r="O589" s="103"/>
      <c r="P589" s="103"/>
      <c r="Q589" s="103"/>
      <c r="R589" s="103"/>
      <c r="S589" s="103"/>
      <c r="T589" s="103"/>
      <c r="U589" s="103"/>
      <c r="V589" s="103"/>
      <c r="W589" s="103"/>
      <c r="X589" s="103"/>
      <c r="Y589" s="103"/>
      <c r="Z589" s="103">
        <v>100</v>
      </c>
      <c r="AA589" s="103"/>
      <c r="AB589" s="103"/>
      <c r="AC589" s="103">
        <v>22</v>
      </c>
      <c r="AD589" s="103"/>
      <c r="AE589" s="103"/>
      <c r="AF589" s="103"/>
      <c r="AG589" s="103"/>
      <c r="AH589" s="103"/>
      <c r="AI589" s="103"/>
      <c r="AJ589" s="103"/>
      <c r="AK589" s="103"/>
      <c r="AL589" s="103"/>
      <c r="AM589" s="103"/>
      <c r="AN589" s="103">
        <v>107</v>
      </c>
      <c r="AO589" s="103"/>
      <c r="AP589" s="103">
        <v>15</v>
      </c>
      <c r="AQ589" s="103"/>
      <c r="AR589" s="103"/>
      <c r="AS589" s="103"/>
      <c r="AT589" s="103"/>
      <c r="AU589" s="103"/>
      <c r="AV589" s="103"/>
      <c r="AW589" s="104" t="str">
        <f>HYPERLINK("http://www.openstreetmap.org/?mlat=34.0585&amp;mlon=44.9805&amp;zoom=12#map=12/34.0585/44.9805","Maplink1")</f>
        <v>Maplink1</v>
      </c>
      <c r="AX589" s="104" t="str">
        <f>HYPERLINK("https://www.google.iq/maps/search/+34.0585,44.9805/@34.0585,44.9805,14z?hl=en","Maplink2")</f>
        <v>Maplink2</v>
      </c>
      <c r="AY589" s="104" t="str">
        <f>HYPERLINK("http://www.bing.com/maps/?lvl=14&amp;sty=h&amp;cp=34.0585~44.9805&amp;sp=point.34.0585_44.9805","Maplink3")</f>
        <v>Maplink3</v>
      </c>
    </row>
    <row r="590" spans="1:51" x14ac:dyDescent="0.2">
      <c r="A590" s="102">
        <v>25663</v>
      </c>
      <c r="B590" s="103" t="s">
        <v>32</v>
      </c>
      <c r="C590" s="103" t="s">
        <v>91</v>
      </c>
      <c r="D590" s="103" t="s">
        <v>1193</v>
      </c>
      <c r="E590" s="103" t="s">
        <v>1194</v>
      </c>
      <c r="F590" s="103">
        <v>34.038020000000003</v>
      </c>
      <c r="G590" s="103">
        <v>44.983947409400002</v>
      </c>
      <c r="H590" s="102">
        <v>110</v>
      </c>
      <c r="I590" s="102">
        <v>660</v>
      </c>
      <c r="J590" s="103"/>
      <c r="K590" s="103"/>
      <c r="L590" s="103"/>
      <c r="M590" s="103">
        <v>90</v>
      </c>
      <c r="N590" s="103">
        <v>20</v>
      </c>
      <c r="O590" s="103"/>
      <c r="P590" s="103"/>
      <c r="Q590" s="103"/>
      <c r="R590" s="103"/>
      <c r="S590" s="103"/>
      <c r="T590" s="103"/>
      <c r="U590" s="103"/>
      <c r="V590" s="103"/>
      <c r="W590" s="103"/>
      <c r="X590" s="103"/>
      <c r="Y590" s="103"/>
      <c r="Z590" s="103">
        <v>109</v>
      </c>
      <c r="AA590" s="103"/>
      <c r="AB590" s="103"/>
      <c r="AC590" s="103">
        <v>1</v>
      </c>
      <c r="AD590" s="103"/>
      <c r="AE590" s="103"/>
      <c r="AF590" s="103"/>
      <c r="AG590" s="103"/>
      <c r="AH590" s="103"/>
      <c r="AI590" s="103"/>
      <c r="AJ590" s="103"/>
      <c r="AK590" s="103"/>
      <c r="AL590" s="103"/>
      <c r="AM590" s="103"/>
      <c r="AN590" s="103"/>
      <c r="AO590" s="103"/>
      <c r="AP590" s="103">
        <v>110</v>
      </c>
      <c r="AQ590" s="103"/>
      <c r="AR590" s="103"/>
      <c r="AS590" s="103"/>
      <c r="AT590" s="103"/>
      <c r="AU590" s="103"/>
      <c r="AV590" s="103"/>
      <c r="AW590" s="104" t="str">
        <f>HYPERLINK("http://www.openstreetmap.org/?mlat=34.038&amp;mlon=44.9839&amp;zoom=12#map=12/34.038/44.9839","Maplink1")</f>
        <v>Maplink1</v>
      </c>
      <c r="AX590" s="104" t="str">
        <f>HYPERLINK("https://www.google.iq/maps/search/+34.038,44.9839/@34.038,44.9839,14z?hl=en","Maplink2")</f>
        <v>Maplink2</v>
      </c>
      <c r="AY590" s="104" t="str">
        <f>HYPERLINK("http://www.bing.com/maps/?lvl=14&amp;sty=h&amp;cp=34.038~44.9839&amp;sp=point.34.038_44.9839","Maplink3")</f>
        <v>Maplink3</v>
      </c>
    </row>
    <row r="591" spans="1:51" x14ac:dyDescent="0.2">
      <c r="A591" s="102">
        <v>25826</v>
      </c>
      <c r="B591" s="103" t="s">
        <v>32</v>
      </c>
      <c r="C591" s="103" t="s">
        <v>91</v>
      </c>
      <c r="D591" s="103" t="s">
        <v>1195</v>
      </c>
      <c r="E591" s="103" t="s">
        <v>1196</v>
      </c>
      <c r="F591" s="103">
        <v>33.983460000000001</v>
      </c>
      <c r="G591" s="103">
        <v>44.938338523299997</v>
      </c>
      <c r="H591" s="102">
        <v>67</v>
      </c>
      <c r="I591" s="102">
        <v>402</v>
      </c>
      <c r="J591" s="103"/>
      <c r="K591" s="103"/>
      <c r="L591" s="103"/>
      <c r="M591" s="103">
        <v>67</v>
      </c>
      <c r="N591" s="103"/>
      <c r="O591" s="103"/>
      <c r="P591" s="103"/>
      <c r="Q591" s="103"/>
      <c r="R591" s="103"/>
      <c r="S591" s="103"/>
      <c r="T591" s="103"/>
      <c r="U591" s="103"/>
      <c r="V591" s="103"/>
      <c r="W591" s="103"/>
      <c r="X591" s="103"/>
      <c r="Y591" s="103"/>
      <c r="Z591" s="103">
        <v>67</v>
      </c>
      <c r="AA591" s="103"/>
      <c r="AB591" s="103"/>
      <c r="AC591" s="103"/>
      <c r="AD591" s="103"/>
      <c r="AE591" s="103"/>
      <c r="AF591" s="103"/>
      <c r="AG591" s="103"/>
      <c r="AH591" s="103"/>
      <c r="AI591" s="103"/>
      <c r="AJ591" s="103"/>
      <c r="AK591" s="103"/>
      <c r="AL591" s="103"/>
      <c r="AM591" s="103"/>
      <c r="AN591" s="103">
        <v>67</v>
      </c>
      <c r="AO591" s="103"/>
      <c r="AP591" s="103"/>
      <c r="AQ591" s="103"/>
      <c r="AR591" s="103"/>
      <c r="AS591" s="103"/>
      <c r="AT591" s="103"/>
      <c r="AU591" s="103"/>
      <c r="AV591" s="103"/>
      <c r="AW591" s="104" t="str">
        <f>HYPERLINK("http://www.openstreetmap.org/?mlat=33.9835&amp;mlon=44.9383&amp;zoom=12#map=12/33.9835/44.9383","Maplink1")</f>
        <v>Maplink1</v>
      </c>
      <c r="AX591" s="104" t="str">
        <f>HYPERLINK("https://www.google.iq/maps/search/+33.9835,44.9383/@33.9835,44.9383,14z?hl=en","Maplink2")</f>
        <v>Maplink2</v>
      </c>
      <c r="AY591" s="104" t="str">
        <f>HYPERLINK("http://www.bing.com/maps/?lvl=14&amp;sty=h&amp;cp=33.9835~44.9383&amp;sp=point.33.9835_44.9383","Maplink3")</f>
        <v>Maplink3</v>
      </c>
    </row>
    <row r="592" spans="1:51" x14ac:dyDescent="0.2">
      <c r="A592" s="102">
        <v>11287</v>
      </c>
      <c r="B592" s="103" t="s">
        <v>32</v>
      </c>
      <c r="C592" s="103" t="s">
        <v>91</v>
      </c>
      <c r="D592" s="103" t="s">
        <v>1197</v>
      </c>
      <c r="E592" s="103" t="s">
        <v>1198</v>
      </c>
      <c r="F592" s="103">
        <v>34.003206270600003</v>
      </c>
      <c r="G592" s="103">
        <v>44.9885047382</v>
      </c>
      <c r="H592" s="102">
        <v>319</v>
      </c>
      <c r="I592" s="102">
        <v>1914</v>
      </c>
      <c r="J592" s="103"/>
      <c r="K592" s="103"/>
      <c r="L592" s="103"/>
      <c r="M592" s="103">
        <v>250</v>
      </c>
      <c r="N592" s="103">
        <v>69</v>
      </c>
      <c r="O592" s="103"/>
      <c r="P592" s="103"/>
      <c r="Q592" s="103"/>
      <c r="R592" s="103"/>
      <c r="S592" s="103"/>
      <c r="T592" s="103"/>
      <c r="U592" s="103"/>
      <c r="V592" s="103"/>
      <c r="W592" s="103"/>
      <c r="X592" s="103"/>
      <c r="Y592" s="103"/>
      <c r="Z592" s="103">
        <v>219</v>
      </c>
      <c r="AA592" s="103"/>
      <c r="AB592" s="103"/>
      <c r="AC592" s="103"/>
      <c r="AD592" s="103"/>
      <c r="AE592" s="103"/>
      <c r="AF592" s="103"/>
      <c r="AG592" s="103"/>
      <c r="AH592" s="103"/>
      <c r="AI592" s="103"/>
      <c r="AJ592" s="103">
        <v>100</v>
      </c>
      <c r="AK592" s="103"/>
      <c r="AL592" s="103"/>
      <c r="AM592" s="103"/>
      <c r="AN592" s="103"/>
      <c r="AO592" s="103"/>
      <c r="AP592" s="103">
        <v>319</v>
      </c>
      <c r="AQ592" s="103"/>
      <c r="AR592" s="103"/>
      <c r="AS592" s="103"/>
      <c r="AT592" s="103"/>
      <c r="AU592" s="103"/>
      <c r="AV592" s="103"/>
      <c r="AW592" s="104" t="str">
        <f>HYPERLINK("http://www.openstreetmap.org/?mlat=34.0032&amp;mlon=44.9885&amp;zoom=12#map=12/34.0032/44.9885","Maplink1")</f>
        <v>Maplink1</v>
      </c>
      <c r="AX592" s="104" t="str">
        <f>HYPERLINK("https://www.google.iq/maps/search/+34.0032,44.9885/@34.0032,44.9885,14z?hl=en","Maplink2")</f>
        <v>Maplink2</v>
      </c>
      <c r="AY592" s="104" t="str">
        <f>HYPERLINK("http://www.bing.com/maps/?lvl=14&amp;sty=h&amp;cp=34.0032~44.9885&amp;sp=point.34.0032_44.9885","Maplink3")</f>
        <v>Maplink3</v>
      </c>
    </row>
    <row r="593" spans="1:51" x14ac:dyDescent="0.2">
      <c r="A593" s="102">
        <v>25674</v>
      </c>
      <c r="B593" s="103" t="s">
        <v>32</v>
      </c>
      <c r="C593" s="103" t="s">
        <v>91</v>
      </c>
      <c r="D593" s="103" t="s">
        <v>1173</v>
      </c>
      <c r="E593" s="103" t="s">
        <v>1174</v>
      </c>
      <c r="F593" s="103">
        <v>34.002143970699997</v>
      </c>
      <c r="G593" s="103">
        <v>44.878074954100001</v>
      </c>
      <c r="H593" s="102">
        <v>29</v>
      </c>
      <c r="I593" s="102">
        <v>174</v>
      </c>
      <c r="J593" s="103"/>
      <c r="K593" s="103"/>
      <c r="L593" s="103"/>
      <c r="M593" s="103">
        <v>21</v>
      </c>
      <c r="N593" s="103">
        <v>8</v>
      </c>
      <c r="O593" s="103"/>
      <c r="P593" s="103"/>
      <c r="Q593" s="103"/>
      <c r="R593" s="103"/>
      <c r="S593" s="103"/>
      <c r="T593" s="103"/>
      <c r="U593" s="103"/>
      <c r="V593" s="103"/>
      <c r="W593" s="103"/>
      <c r="X593" s="103"/>
      <c r="Y593" s="103"/>
      <c r="Z593" s="103">
        <v>19</v>
      </c>
      <c r="AA593" s="103"/>
      <c r="AB593" s="103"/>
      <c r="AC593" s="103"/>
      <c r="AD593" s="103"/>
      <c r="AE593" s="103"/>
      <c r="AF593" s="103"/>
      <c r="AG593" s="103"/>
      <c r="AH593" s="103"/>
      <c r="AI593" s="103"/>
      <c r="AJ593" s="103">
        <v>10</v>
      </c>
      <c r="AK593" s="103"/>
      <c r="AL593" s="103"/>
      <c r="AM593" s="103"/>
      <c r="AN593" s="103"/>
      <c r="AO593" s="103"/>
      <c r="AP593" s="103">
        <v>29</v>
      </c>
      <c r="AQ593" s="103"/>
      <c r="AR593" s="103"/>
      <c r="AS593" s="103"/>
      <c r="AT593" s="103"/>
      <c r="AU593" s="103"/>
      <c r="AV593" s="103"/>
      <c r="AW593" s="104" t="str">
        <f>HYPERLINK("http://www.openstreetmap.org/?mlat=34.0021&amp;mlon=44.8781&amp;zoom=12#map=12/34.0021/44.8781","Maplink1")</f>
        <v>Maplink1</v>
      </c>
      <c r="AX593" s="104" t="str">
        <f>HYPERLINK("https://www.google.iq/maps/search/+34.0021,44.8781/@34.0021,44.8781,14z?hl=en","Maplink2")</f>
        <v>Maplink2</v>
      </c>
      <c r="AY593" s="104" t="str">
        <f>HYPERLINK("http://www.bing.com/maps/?lvl=14&amp;sty=h&amp;cp=34.0021~44.8781&amp;sp=point.34.0021_44.8781","Maplink3")</f>
        <v>Maplink3</v>
      </c>
    </row>
    <row r="594" spans="1:51" x14ac:dyDescent="0.2">
      <c r="A594" s="102">
        <v>25982</v>
      </c>
      <c r="B594" s="103" t="s">
        <v>32</v>
      </c>
      <c r="C594" s="103" t="s">
        <v>91</v>
      </c>
      <c r="D594" s="103" t="s">
        <v>1175</v>
      </c>
      <c r="E594" s="103" t="s">
        <v>1176</v>
      </c>
      <c r="F594" s="103">
        <v>34.054803364400001</v>
      </c>
      <c r="G594" s="103">
        <v>44.944856912799999</v>
      </c>
      <c r="H594" s="102">
        <v>255</v>
      </c>
      <c r="I594" s="102">
        <v>1530</v>
      </c>
      <c r="J594" s="103"/>
      <c r="K594" s="103"/>
      <c r="L594" s="103"/>
      <c r="M594" s="103">
        <v>227</v>
      </c>
      <c r="N594" s="103">
        <v>28</v>
      </c>
      <c r="O594" s="103"/>
      <c r="P594" s="103"/>
      <c r="Q594" s="103"/>
      <c r="R594" s="103"/>
      <c r="S594" s="103"/>
      <c r="T594" s="103"/>
      <c r="U594" s="103"/>
      <c r="V594" s="103"/>
      <c r="W594" s="103"/>
      <c r="X594" s="103"/>
      <c r="Y594" s="103"/>
      <c r="Z594" s="103">
        <v>213</v>
      </c>
      <c r="AA594" s="103"/>
      <c r="AB594" s="103"/>
      <c r="AC594" s="103">
        <v>35</v>
      </c>
      <c r="AD594" s="103"/>
      <c r="AE594" s="103"/>
      <c r="AF594" s="103"/>
      <c r="AG594" s="103"/>
      <c r="AH594" s="103"/>
      <c r="AI594" s="103"/>
      <c r="AJ594" s="103">
        <v>7</v>
      </c>
      <c r="AK594" s="103"/>
      <c r="AL594" s="103"/>
      <c r="AM594" s="103"/>
      <c r="AN594" s="103"/>
      <c r="AO594" s="103"/>
      <c r="AP594" s="103">
        <v>255</v>
      </c>
      <c r="AQ594" s="103"/>
      <c r="AR594" s="103"/>
      <c r="AS594" s="103"/>
      <c r="AT594" s="103"/>
      <c r="AU594" s="103"/>
      <c r="AV594" s="103"/>
      <c r="AW594" s="104" t="str">
        <f>HYPERLINK("http://www.openstreetmap.org/?mlat=34.0548&amp;mlon=44.9449&amp;zoom=12#map=12/34.0548/44.9449","Maplink1")</f>
        <v>Maplink1</v>
      </c>
      <c r="AX594" s="104" t="str">
        <f>HYPERLINK("https://www.google.iq/maps/search/+34.0548,44.9449/@34.0548,44.9449,14z?hl=en","Maplink2")</f>
        <v>Maplink2</v>
      </c>
      <c r="AY594" s="104" t="str">
        <f>HYPERLINK("http://www.bing.com/maps/?lvl=14&amp;sty=h&amp;cp=34.0548~44.9449&amp;sp=point.34.0548_44.9449","Maplink3")</f>
        <v>Maplink3</v>
      </c>
    </row>
    <row r="595" spans="1:51" x14ac:dyDescent="0.2">
      <c r="A595" s="102">
        <v>21308</v>
      </c>
      <c r="B595" s="103" t="s">
        <v>32</v>
      </c>
      <c r="C595" s="103" t="s">
        <v>91</v>
      </c>
      <c r="D595" s="103" t="s">
        <v>1177</v>
      </c>
      <c r="E595" s="103" t="s">
        <v>1178</v>
      </c>
      <c r="F595" s="103">
        <v>33.990359640500003</v>
      </c>
      <c r="G595" s="103">
        <v>44.948840238599999</v>
      </c>
      <c r="H595" s="102">
        <v>24</v>
      </c>
      <c r="I595" s="102">
        <v>144</v>
      </c>
      <c r="J595" s="103"/>
      <c r="K595" s="103"/>
      <c r="L595" s="103"/>
      <c r="M595" s="103">
        <v>24</v>
      </c>
      <c r="N595" s="103"/>
      <c r="O595" s="103"/>
      <c r="P595" s="103"/>
      <c r="Q595" s="103"/>
      <c r="R595" s="103"/>
      <c r="S595" s="103"/>
      <c r="T595" s="103"/>
      <c r="U595" s="103"/>
      <c r="V595" s="103"/>
      <c r="W595" s="103"/>
      <c r="X595" s="103"/>
      <c r="Y595" s="103"/>
      <c r="Z595" s="103">
        <v>24</v>
      </c>
      <c r="AA595" s="103"/>
      <c r="AB595" s="103"/>
      <c r="AC595" s="103"/>
      <c r="AD595" s="103"/>
      <c r="AE595" s="103"/>
      <c r="AF595" s="103"/>
      <c r="AG595" s="103"/>
      <c r="AH595" s="103"/>
      <c r="AI595" s="103"/>
      <c r="AJ595" s="103"/>
      <c r="AK595" s="103"/>
      <c r="AL595" s="103"/>
      <c r="AM595" s="103"/>
      <c r="AN595" s="103">
        <v>24</v>
      </c>
      <c r="AO595" s="103"/>
      <c r="AP595" s="103"/>
      <c r="AQ595" s="103"/>
      <c r="AR595" s="103"/>
      <c r="AS595" s="103"/>
      <c r="AT595" s="103"/>
      <c r="AU595" s="103"/>
      <c r="AV595" s="103"/>
      <c r="AW595" s="104" t="str">
        <f>HYPERLINK("http://www.openstreetmap.org/?mlat=33.9904&amp;mlon=44.9488&amp;zoom=12#map=12/33.9904/44.9488","Maplink1")</f>
        <v>Maplink1</v>
      </c>
      <c r="AX595" s="104" t="str">
        <f>HYPERLINK("https://www.google.iq/maps/search/+33.9904,44.9488/@33.9904,44.9488,14z?hl=en","Maplink2")</f>
        <v>Maplink2</v>
      </c>
      <c r="AY595" s="104" t="str">
        <f>HYPERLINK("http://www.bing.com/maps/?lvl=14&amp;sty=h&amp;cp=33.9904~44.9488&amp;sp=point.33.9904_44.9488","Maplink3")</f>
        <v>Maplink3</v>
      </c>
    </row>
    <row r="596" spans="1:51" x14ac:dyDescent="0.2">
      <c r="A596" s="102">
        <v>29659</v>
      </c>
      <c r="B596" s="103" t="s">
        <v>32</v>
      </c>
      <c r="C596" s="103" t="s">
        <v>91</v>
      </c>
      <c r="D596" s="103" t="s">
        <v>1179</v>
      </c>
      <c r="E596" s="103" t="s">
        <v>1180</v>
      </c>
      <c r="F596" s="103">
        <v>34.002205919799998</v>
      </c>
      <c r="G596" s="103">
        <v>44.942184621400003</v>
      </c>
      <c r="H596" s="102">
        <v>100</v>
      </c>
      <c r="I596" s="102">
        <v>600</v>
      </c>
      <c r="J596" s="103"/>
      <c r="K596" s="103"/>
      <c r="L596" s="103"/>
      <c r="M596" s="103">
        <v>77</v>
      </c>
      <c r="N596" s="103">
        <v>23</v>
      </c>
      <c r="O596" s="103"/>
      <c r="P596" s="103"/>
      <c r="Q596" s="103"/>
      <c r="R596" s="103"/>
      <c r="S596" s="103"/>
      <c r="T596" s="103"/>
      <c r="U596" s="103"/>
      <c r="V596" s="103"/>
      <c r="W596" s="103"/>
      <c r="X596" s="103"/>
      <c r="Y596" s="103"/>
      <c r="Z596" s="103">
        <v>70</v>
      </c>
      <c r="AA596" s="103"/>
      <c r="AB596" s="103"/>
      <c r="AC596" s="103">
        <v>30</v>
      </c>
      <c r="AD596" s="103"/>
      <c r="AE596" s="103"/>
      <c r="AF596" s="103"/>
      <c r="AG596" s="103"/>
      <c r="AH596" s="103"/>
      <c r="AI596" s="103"/>
      <c r="AJ596" s="103"/>
      <c r="AK596" s="103"/>
      <c r="AL596" s="103"/>
      <c r="AM596" s="103"/>
      <c r="AN596" s="103">
        <v>30</v>
      </c>
      <c r="AO596" s="103"/>
      <c r="AP596" s="103">
        <v>70</v>
      </c>
      <c r="AQ596" s="103"/>
      <c r="AR596" s="103"/>
      <c r="AS596" s="103"/>
      <c r="AT596" s="103"/>
      <c r="AU596" s="103"/>
      <c r="AV596" s="103"/>
      <c r="AW596" s="104" t="str">
        <f>HYPERLINK("http://www.openstreetmap.org/?mlat=34.0022&amp;mlon=44.9422&amp;zoom=12#map=12/34.0022/44.9422","Maplink1")</f>
        <v>Maplink1</v>
      </c>
      <c r="AX596" s="104" t="str">
        <f>HYPERLINK("https://www.google.iq/maps/search/+34.0022,44.9422/@34.0022,44.9422,14z?hl=en","Maplink2")</f>
        <v>Maplink2</v>
      </c>
      <c r="AY596" s="104" t="str">
        <f>HYPERLINK("http://www.bing.com/maps/?lvl=14&amp;sty=h&amp;cp=34.0022~44.9422&amp;sp=point.34.0022_44.9422","Maplink3")</f>
        <v>Maplink3</v>
      </c>
    </row>
    <row r="597" spans="1:51" x14ac:dyDescent="0.2">
      <c r="A597" s="102">
        <v>33360</v>
      </c>
      <c r="B597" s="103" t="s">
        <v>32</v>
      </c>
      <c r="C597" s="103" t="s">
        <v>92</v>
      </c>
      <c r="D597" s="103" t="s">
        <v>1340</v>
      </c>
      <c r="E597" s="103" t="s">
        <v>1341</v>
      </c>
      <c r="F597" s="103">
        <v>34.292222000000002</v>
      </c>
      <c r="G597" s="103">
        <v>45.025423864300002</v>
      </c>
      <c r="H597" s="102">
        <v>110</v>
      </c>
      <c r="I597" s="102">
        <v>660</v>
      </c>
      <c r="J597" s="103"/>
      <c r="K597" s="103"/>
      <c r="L597" s="103"/>
      <c r="M597" s="103">
        <v>110</v>
      </c>
      <c r="N597" s="103"/>
      <c r="O597" s="103"/>
      <c r="P597" s="103"/>
      <c r="Q597" s="103"/>
      <c r="R597" s="103"/>
      <c r="S597" s="103"/>
      <c r="T597" s="103"/>
      <c r="U597" s="103"/>
      <c r="V597" s="103"/>
      <c r="W597" s="103"/>
      <c r="X597" s="103"/>
      <c r="Y597" s="103"/>
      <c r="Z597" s="103">
        <v>110</v>
      </c>
      <c r="AA597" s="103"/>
      <c r="AB597" s="103"/>
      <c r="AC597" s="103"/>
      <c r="AD597" s="103"/>
      <c r="AE597" s="103"/>
      <c r="AF597" s="103"/>
      <c r="AG597" s="103"/>
      <c r="AH597" s="103"/>
      <c r="AI597" s="103"/>
      <c r="AJ597" s="103"/>
      <c r="AK597" s="103"/>
      <c r="AL597" s="103"/>
      <c r="AM597" s="103"/>
      <c r="AN597" s="103"/>
      <c r="AO597" s="103">
        <v>110</v>
      </c>
      <c r="AP597" s="103"/>
      <c r="AQ597" s="103"/>
      <c r="AR597" s="103"/>
      <c r="AS597" s="103"/>
      <c r="AT597" s="103"/>
      <c r="AU597" s="103"/>
      <c r="AV597" s="103"/>
      <c r="AW597" s="104" t="str">
        <f>HYPERLINK("http://www.openstreetmap.org/?mlat=34.2922&amp;mlon=45.0254&amp;zoom=12#map=12/34.2922/45.0254","Maplink1")</f>
        <v>Maplink1</v>
      </c>
      <c r="AX597" s="104" t="str">
        <f>HYPERLINK("https://www.google.iq/maps/search/+34.2922,45.0254/@34.2922,45.0254,14z?hl=en","Maplink2")</f>
        <v>Maplink2</v>
      </c>
      <c r="AY597" s="104" t="str">
        <f>HYPERLINK("http://www.bing.com/maps/?lvl=14&amp;sty=h&amp;cp=34.2922~45.0254&amp;sp=point.34.2922_45.0254","Maplink3")</f>
        <v>Maplink3</v>
      </c>
    </row>
    <row r="598" spans="1:51" x14ac:dyDescent="0.2">
      <c r="A598" s="102">
        <v>29629</v>
      </c>
      <c r="B598" s="103" t="s">
        <v>32</v>
      </c>
      <c r="C598" s="103" t="s">
        <v>92</v>
      </c>
      <c r="D598" s="103" t="s">
        <v>1321</v>
      </c>
      <c r="E598" s="103" t="s">
        <v>1322</v>
      </c>
      <c r="F598" s="103">
        <v>34.155168893899997</v>
      </c>
      <c r="G598" s="103">
        <v>45.1905951711</v>
      </c>
      <c r="H598" s="102">
        <v>220</v>
      </c>
      <c r="I598" s="102">
        <v>1320</v>
      </c>
      <c r="J598" s="103"/>
      <c r="K598" s="103"/>
      <c r="L598" s="103"/>
      <c r="M598" s="103">
        <v>190</v>
      </c>
      <c r="N598" s="103">
        <v>30</v>
      </c>
      <c r="O598" s="103"/>
      <c r="P598" s="103"/>
      <c r="Q598" s="103"/>
      <c r="R598" s="103"/>
      <c r="S598" s="103"/>
      <c r="T598" s="103"/>
      <c r="U598" s="103"/>
      <c r="V598" s="103"/>
      <c r="W598" s="103"/>
      <c r="X598" s="103"/>
      <c r="Y598" s="103"/>
      <c r="Z598" s="103">
        <v>220</v>
      </c>
      <c r="AA598" s="103"/>
      <c r="AB598" s="103"/>
      <c r="AC598" s="103"/>
      <c r="AD598" s="103"/>
      <c r="AE598" s="103"/>
      <c r="AF598" s="103"/>
      <c r="AG598" s="103"/>
      <c r="AH598" s="103"/>
      <c r="AI598" s="103"/>
      <c r="AJ598" s="103"/>
      <c r="AK598" s="103"/>
      <c r="AL598" s="103"/>
      <c r="AM598" s="103"/>
      <c r="AN598" s="103">
        <v>220</v>
      </c>
      <c r="AO598" s="103"/>
      <c r="AP598" s="103"/>
      <c r="AQ598" s="103"/>
      <c r="AR598" s="103"/>
      <c r="AS598" s="103"/>
      <c r="AT598" s="103"/>
      <c r="AU598" s="103"/>
      <c r="AV598" s="103"/>
      <c r="AW598" s="104" t="str">
        <f>HYPERLINK("http://www.openstreetmap.org/?mlat=34.1552&amp;mlon=45.1906&amp;zoom=12#map=12/34.1552/45.1906","Maplink1")</f>
        <v>Maplink1</v>
      </c>
      <c r="AX598" s="104" t="str">
        <f>HYPERLINK("https://www.google.iq/maps/search/+34.1552,45.1906/@34.1552,45.1906,14z?hl=en","Maplink2")</f>
        <v>Maplink2</v>
      </c>
      <c r="AY598" s="104" t="str">
        <f>HYPERLINK("http://www.bing.com/maps/?lvl=14&amp;sty=h&amp;cp=34.1552~45.1906&amp;sp=point.34.1552_45.1906","Maplink3")</f>
        <v>Maplink3</v>
      </c>
    </row>
    <row r="599" spans="1:51" x14ac:dyDescent="0.2">
      <c r="A599" s="102">
        <v>29587</v>
      </c>
      <c r="B599" s="103" t="s">
        <v>32</v>
      </c>
      <c r="C599" s="103" t="s">
        <v>92</v>
      </c>
      <c r="D599" s="103" t="s">
        <v>1306</v>
      </c>
      <c r="E599" s="103" t="s">
        <v>589</v>
      </c>
      <c r="F599" s="103">
        <v>34.186426304800001</v>
      </c>
      <c r="G599" s="103">
        <v>45.131204456699997</v>
      </c>
      <c r="H599" s="102">
        <v>75</v>
      </c>
      <c r="I599" s="102">
        <v>450</v>
      </c>
      <c r="J599" s="103"/>
      <c r="K599" s="103"/>
      <c r="L599" s="103"/>
      <c r="M599" s="103">
        <v>75</v>
      </c>
      <c r="N599" s="103"/>
      <c r="O599" s="103"/>
      <c r="P599" s="103"/>
      <c r="Q599" s="103"/>
      <c r="R599" s="103"/>
      <c r="S599" s="103"/>
      <c r="T599" s="103"/>
      <c r="U599" s="103"/>
      <c r="V599" s="103"/>
      <c r="W599" s="103"/>
      <c r="X599" s="103"/>
      <c r="Y599" s="103"/>
      <c r="Z599" s="103">
        <v>58</v>
      </c>
      <c r="AA599" s="103">
        <v>2</v>
      </c>
      <c r="AB599" s="103"/>
      <c r="AC599" s="103">
        <v>6</v>
      </c>
      <c r="AD599" s="103"/>
      <c r="AE599" s="103"/>
      <c r="AF599" s="103"/>
      <c r="AG599" s="103"/>
      <c r="AH599" s="103"/>
      <c r="AI599" s="103"/>
      <c r="AJ599" s="103">
        <v>9</v>
      </c>
      <c r="AK599" s="103"/>
      <c r="AL599" s="103"/>
      <c r="AM599" s="103"/>
      <c r="AN599" s="103">
        <v>73</v>
      </c>
      <c r="AO599" s="103">
        <v>2</v>
      </c>
      <c r="AP599" s="103"/>
      <c r="AQ599" s="103"/>
      <c r="AR599" s="103"/>
      <c r="AS599" s="103"/>
      <c r="AT599" s="103"/>
      <c r="AU599" s="103"/>
      <c r="AV599" s="103"/>
      <c r="AW599" s="104" t="str">
        <f>HYPERLINK("http://www.openstreetmap.org/?mlat=34.1864&amp;mlon=45.1312&amp;zoom=12#map=12/34.1864/45.1312","Maplink1")</f>
        <v>Maplink1</v>
      </c>
      <c r="AX599" s="104" t="str">
        <f>HYPERLINK("https://www.google.iq/maps/search/+34.1864,45.1312/@34.1864,45.1312,14z?hl=en","Maplink2")</f>
        <v>Maplink2</v>
      </c>
      <c r="AY599" s="104" t="str">
        <f>HYPERLINK("http://www.bing.com/maps/?lvl=14&amp;sty=h&amp;cp=34.1864~45.1312&amp;sp=point.34.1864_45.1312","Maplink3")</f>
        <v>Maplink3</v>
      </c>
    </row>
    <row r="600" spans="1:51" x14ac:dyDescent="0.2">
      <c r="A600" s="102">
        <v>31748</v>
      </c>
      <c r="B600" s="103" t="s">
        <v>32</v>
      </c>
      <c r="C600" s="103" t="s">
        <v>92</v>
      </c>
      <c r="D600" s="103" t="s">
        <v>1307</v>
      </c>
      <c r="E600" s="103" t="s">
        <v>1308</v>
      </c>
      <c r="F600" s="103">
        <v>34.277500000000003</v>
      </c>
      <c r="G600" s="103">
        <v>45.166476827899999</v>
      </c>
      <c r="H600" s="102">
        <v>600</v>
      </c>
      <c r="I600" s="102">
        <v>3600</v>
      </c>
      <c r="J600" s="103"/>
      <c r="K600" s="103"/>
      <c r="L600" s="103">
        <v>40</v>
      </c>
      <c r="M600" s="103">
        <v>525</v>
      </c>
      <c r="N600" s="103">
        <v>35</v>
      </c>
      <c r="O600" s="103"/>
      <c r="P600" s="103"/>
      <c r="Q600" s="103"/>
      <c r="R600" s="103"/>
      <c r="S600" s="103"/>
      <c r="T600" s="103"/>
      <c r="U600" s="103"/>
      <c r="V600" s="103"/>
      <c r="W600" s="103">
        <v>20</v>
      </c>
      <c r="X600" s="103"/>
      <c r="Y600" s="103"/>
      <c r="Z600" s="103">
        <v>460</v>
      </c>
      <c r="AA600" s="103"/>
      <c r="AB600" s="103"/>
      <c r="AC600" s="103">
        <v>15</v>
      </c>
      <c r="AD600" s="103"/>
      <c r="AE600" s="103"/>
      <c r="AF600" s="103"/>
      <c r="AG600" s="103"/>
      <c r="AH600" s="103"/>
      <c r="AI600" s="103"/>
      <c r="AJ600" s="103">
        <v>105</v>
      </c>
      <c r="AK600" s="103"/>
      <c r="AL600" s="103"/>
      <c r="AM600" s="103"/>
      <c r="AN600" s="103">
        <v>200</v>
      </c>
      <c r="AO600" s="103">
        <v>400</v>
      </c>
      <c r="AP600" s="103"/>
      <c r="AQ600" s="103"/>
      <c r="AR600" s="103"/>
      <c r="AS600" s="103"/>
      <c r="AT600" s="103"/>
      <c r="AU600" s="103"/>
      <c r="AV600" s="103"/>
      <c r="AW600" s="104" t="str">
        <f>HYPERLINK("http://www.openstreetmap.org/?mlat=34.2775&amp;mlon=45.1665&amp;zoom=12#map=12/34.2775/45.1665","Maplink1")</f>
        <v>Maplink1</v>
      </c>
      <c r="AX600" s="104" t="str">
        <f>HYPERLINK("https://www.google.iq/maps/search/+34.2775,45.1665/@34.2775,45.1665,14z?hl=en","Maplink2")</f>
        <v>Maplink2</v>
      </c>
      <c r="AY600" s="104" t="str">
        <f>HYPERLINK("http://www.bing.com/maps/?lvl=14&amp;sty=h&amp;cp=34.2775~45.1665&amp;sp=point.34.2775_45.1665","Maplink3")</f>
        <v>Maplink3</v>
      </c>
    </row>
    <row r="601" spans="1:51" x14ac:dyDescent="0.2">
      <c r="A601" s="102">
        <v>33449</v>
      </c>
      <c r="B601" s="103" t="s">
        <v>32</v>
      </c>
      <c r="C601" s="103" t="s">
        <v>92</v>
      </c>
      <c r="D601" s="103" t="s">
        <v>1309</v>
      </c>
      <c r="E601" s="103" t="s">
        <v>1310</v>
      </c>
      <c r="F601" s="103">
        <v>34.311049799999999</v>
      </c>
      <c r="G601" s="103">
        <v>45.0789541185</v>
      </c>
      <c r="H601" s="102">
        <v>90</v>
      </c>
      <c r="I601" s="102">
        <v>540</v>
      </c>
      <c r="J601" s="103"/>
      <c r="K601" s="103"/>
      <c r="L601" s="103"/>
      <c r="M601" s="103">
        <v>65</v>
      </c>
      <c r="N601" s="103">
        <v>25</v>
      </c>
      <c r="O601" s="103"/>
      <c r="P601" s="103"/>
      <c r="Q601" s="103"/>
      <c r="R601" s="103"/>
      <c r="S601" s="103"/>
      <c r="T601" s="103"/>
      <c r="U601" s="103"/>
      <c r="V601" s="103"/>
      <c r="W601" s="103"/>
      <c r="X601" s="103"/>
      <c r="Y601" s="103"/>
      <c r="Z601" s="103">
        <v>87</v>
      </c>
      <c r="AA601" s="103"/>
      <c r="AB601" s="103"/>
      <c r="AC601" s="103"/>
      <c r="AD601" s="103"/>
      <c r="AE601" s="103"/>
      <c r="AF601" s="103"/>
      <c r="AG601" s="103"/>
      <c r="AH601" s="103"/>
      <c r="AI601" s="103"/>
      <c r="AJ601" s="103">
        <v>3</v>
      </c>
      <c r="AK601" s="103"/>
      <c r="AL601" s="103"/>
      <c r="AM601" s="103"/>
      <c r="AN601" s="103"/>
      <c r="AO601" s="103">
        <v>90</v>
      </c>
      <c r="AP601" s="103"/>
      <c r="AQ601" s="103"/>
      <c r="AR601" s="103"/>
      <c r="AS601" s="103"/>
      <c r="AT601" s="103"/>
      <c r="AU601" s="103"/>
      <c r="AV601" s="103"/>
      <c r="AW601" s="104" t="str">
        <f>HYPERLINK("http://www.openstreetmap.org/?mlat=34.311&amp;mlon=45.079&amp;zoom=12#map=12/34.311/45.079","Maplink1")</f>
        <v>Maplink1</v>
      </c>
      <c r="AX601" s="104" t="str">
        <f>HYPERLINK("https://www.google.iq/maps/search/+34.311,45.079/@34.311,45.079,14z?hl=en","Maplink2")</f>
        <v>Maplink2</v>
      </c>
      <c r="AY601" s="104" t="str">
        <f>HYPERLINK("http://www.bing.com/maps/?lvl=14&amp;sty=h&amp;cp=34.311~45.079&amp;sp=point.34.311_45.079","Maplink3")</f>
        <v>Maplink3</v>
      </c>
    </row>
    <row r="602" spans="1:51" x14ac:dyDescent="0.2">
      <c r="A602" s="102">
        <v>31762</v>
      </c>
      <c r="B602" s="103" t="s">
        <v>32</v>
      </c>
      <c r="C602" s="103" t="s">
        <v>92</v>
      </c>
      <c r="D602" s="103" t="s">
        <v>1389</v>
      </c>
      <c r="E602" s="103" t="s">
        <v>1390</v>
      </c>
      <c r="F602" s="103">
        <v>34.276111</v>
      </c>
      <c r="G602" s="103">
        <v>45.181291676599997</v>
      </c>
      <c r="H602" s="102">
        <v>475</v>
      </c>
      <c r="I602" s="102">
        <v>2850</v>
      </c>
      <c r="J602" s="103"/>
      <c r="K602" s="103"/>
      <c r="L602" s="103"/>
      <c r="M602" s="103">
        <v>425</v>
      </c>
      <c r="N602" s="103">
        <v>50</v>
      </c>
      <c r="O602" s="103"/>
      <c r="P602" s="103"/>
      <c r="Q602" s="103"/>
      <c r="R602" s="103"/>
      <c r="S602" s="103"/>
      <c r="T602" s="103"/>
      <c r="U602" s="103"/>
      <c r="V602" s="103"/>
      <c r="W602" s="103"/>
      <c r="X602" s="103"/>
      <c r="Y602" s="103"/>
      <c r="Z602" s="103">
        <v>400</v>
      </c>
      <c r="AA602" s="103"/>
      <c r="AB602" s="103"/>
      <c r="AC602" s="103">
        <v>5</v>
      </c>
      <c r="AD602" s="103"/>
      <c r="AE602" s="103"/>
      <c r="AF602" s="103"/>
      <c r="AG602" s="103"/>
      <c r="AH602" s="103"/>
      <c r="AI602" s="103"/>
      <c r="AJ602" s="103">
        <v>70</v>
      </c>
      <c r="AK602" s="103"/>
      <c r="AL602" s="103"/>
      <c r="AM602" s="103"/>
      <c r="AN602" s="103">
        <v>150</v>
      </c>
      <c r="AO602" s="103">
        <v>325</v>
      </c>
      <c r="AP602" s="103"/>
      <c r="AQ602" s="103"/>
      <c r="AR602" s="103"/>
      <c r="AS602" s="103"/>
      <c r="AT602" s="103"/>
      <c r="AU602" s="103"/>
      <c r="AV602" s="103"/>
      <c r="AW602" s="104" t="str">
        <f>HYPERLINK("http://www.openstreetmap.org/?mlat=34.2761&amp;mlon=45.1813&amp;zoom=12#map=12/34.2761/45.1813","Maplink1")</f>
        <v>Maplink1</v>
      </c>
      <c r="AX602" s="104" t="str">
        <f>HYPERLINK("https://www.google.iq/maps/search/+34.2761,45.1813/@34.2761,45.1813,14z?hl=en","Maplink2")</f>
        <v>Maplink2</v>
      </c>
      <c r="AY602" s="104" t="str">
        <f>HYPERLINK("http://www.bing.com/maps/?lvl=14&amp;sty=h&amp;cp=34.2761~45.1813&amp;sp=point.34.2761_45.1813","Maplink3")</f>
        <v>Maplink3</v>
      </c>
    </row>
    <row r="603" spans="1:51" x14ac:dyDescent="0.2">
      <c r="A603" s="102">
        <v>27390</v>
      </c>
      <c r="B603" s="103" t="s">
        <v>32</v>
      </c>
      <c r="C603" s="103" t="s">
        <v>92</v>
      </c>
      <c r="D603" s="103" t="s">
        <v>1377</v>
      </c>
      <c r="E603" s="103" t="s">
        <v>1378</v>
      </c>
      <c r="F603" s="103">
        <v>34.297207562099999</v>
      </c>
      <c r="G603" s="103">
        <v>45.171148275199997</v>
      </c>
      <c r="H603" s="102">
        <v>75</v>
      </c>
      <c r="I603" s="102">
        <v>450</v>
      </c>
      <c r="J603" s="103"/>
      <c r="K603" s="103"/>
      <c r="L603" s="103"/>
      <c r="M603" s="103">
        <v>75</v>
      </c>
      <c r="N603" s="103"/>
      <c r="O603" s="103"/>
      <c r="P603" s="103"/>
      <c r="Q603" s="103"/>
      <c r="R603" s="103"/>
      <c r="S603" s="103"/>
      <c r="T603" s="103"/>
      <c r="U603" s="103"/>
      <c r="V603" s="103"/>
      <c r="W603" s="103"/>
      <c r="X603" s="103"/>
      <c r="Y603" s="103"/>
      <c r="Z603" s="103">
        <v>73</v>
      </c>
      <c r="AA603" s="103"/>
      <c r="AB603" s="103"/>
      <c r="AC603" s="103"/>
      <c r="AD603" s="103"/>
      <c r="AE603" s="103"/>
      <c r="AF603" s="103"/>
      <c r="AG603" s="103"/>
      <c r="AH603" s="103"/>
      <c r="AI603" s="103"/>
      <c r="AJ603" s="103">
        <v>2</v>
      </c>
      <c r="AK603" s="103"/>
      <c r="AL603" s="103"/>
      <c r="AM603" s="103"/>
      <c r="AN603" s="103">
        <v>75</v>
      </c>
      <c r="AO603" s="103"/>
      <c r="AP603" s="103"/>
      <c r="AQ603" s="103"/>
      <c r="AR603" s="103"/>
      <c r="AS603" s="103"/>
      <c r="AT603" s="103"/>
      <c r="AU603" s="103"/>
      <c r="AV603" s="103"/>
      <c r="AW603" s="104" t="str">
        <f>HYPERLINK("http://www.openstreetmap.org/?mlat=34.2972&amp;mlon=45.1711&amp;zoom=12#map=12/34.2972/45.1711","Maplink1")</f>
        <v>Maplink1</v>
      </c>
      <c r="AX603" s="104" t="str">
        <f>HYPERLINK("https://www.google.iq/maps/search/+34.2972,45.1711/@34.2972,45.1711,14z?hl=en","Maplink2")</f>
        <v>Maplink2</v>
      </c>
      <c r="AY603" s="104" t="str">
        <f>HYPERLINK("http://www.bing.com/maps/?lvl=14&amp;sty=h&amp;cp=34.2972~45.1711&amp;sp=point.34.2972_45.1711","Maplink3")</f>
        <v>Maplink3</v>
      </c>
    </row>
    <row r="604" spans="1:51" x14ac:dyDescent="0.2">
      <c r="A604" s="102">
        <v>31750</v>
      </c>
      <c r="B604" s="103" t="s">
        <v>32</v>
      </c>
      <c r="C604" s="103" t="s">
        <v>92</v>
      </c>
      <c r="D604" s="103" t="s">
        <v>1379</v>
      </c>
      <c r="E604" s="103" t="s">
        <v>1380</v>
      </c>
      <c r="F604" s="103">
        <v>34.270833000000003</v>
      </c>
      <c r="G604" s="103">
        <v>45.163287092399997</v>
      </c>
      <c r="H604" s="102">
        <v>415</v>
      </c>
      <c r="I604" s="102">
        <v>2490</v>
      </c>
      <c r="J604" s="103"/>
      <c r="K604" s="103"/>
      <c r="L604" s="103"/>
      <c r="M604" s="103">
        <v>377</v>
      </c>
      <c r="N604" s="103">
        <v>38</v>
      </c>
      <c r="O604" s="103"/>
      <c r="P604" s="103"/>
      <c r="Q604" s="103"/>
      <c r="R604" s="103"/>
      <c r="S604" s="103"/>
      <c r="T604" s="103"/>
      <c r="U604" s="103"/>
      <c r="V604" s="103"/>
      <c r="W604" s="103">
        <v>5</v>
      </c>
      <c r="X604" s="103"/>
      <c r="Y604" s="103"/>
      <c r="Z604" s="103">
        <v>310</v>
      </c>
      <c r="AA604" s="103"/>
      <c r="AB604" s="103"/>
      <c r="AC604" s="103">
        <v>10</v>
      </c>
      <c r="AD604" s="103"/>
      <c r="AE604" s="103"/>
      <c r="AF604" s="103"/>
      <c r="AG604" s="103"/>
      <c r="AH604" s="103"/>
      <c r="AI604" s="103"/>
      <c r="AJ604" s="103">
        <v>90</v>
      </c>
      <c r="AK604" s="103"/>
      <c r="AL604" s="103"/>
      <c r="AM604" s="103"/>
      <c r="AN604" s="103">
        <v>215</v>
      </c>
      <c r="AO604" s="103">
        <v>200</v>
      </c>
      <c r="AP604" s="103"/>
      <c r="AQ604" s="103"/>
      <c r="AR604" s="103"/>
      <c r="AS604" s="103"/>
      <c r="AT604" s="103"/>
      <c r="AU604" s="103"/>
      <c r="AV604" s="103"/>
      <c r="AW604" s="104" t="str">
        <f>HYPERLINK("http://www.openstreetmap.org/?mlat=34.2708&amp;mlon=45.1633&amp;zoom=12#map=12/34.2708/45.1633","Maplink1")</f>
        <v>Maplink1</v>
      </c>
      <c r="AX604" s="104" t="str">
        <f>HYPERLINK("https://www.google.iq/maps/search/+34.2708,45.1633/@34.2708,45.1633,14z?hl=en","Maplink2")</f>
        <v>Maplink2</v>
      </c>
      <c r="AY604" s="104" t="str">
        <f>HYPERLINK("http://www.bing.com/maps/?lvl=14&amp;sty=h&amp;cp=34.2708~45.1633&amp;sp=point.34.2708_45.1633","Maplink3")</f>
        <v>Maplink3</v>
      </c>
    </row>
    <row r="605" spans="1:51" x14ac:dyDescent="0.2">
      <c r="A605" s="102">
        <v>33185</v>
      </c>
      <c r="B605" s="103" t="s">
        <v>32</v>
      </c>
      <c r="C605" s="103" t="s">
        <v>92</v>
      </c>
      <c r="D605" s="103" t="s">
        <v>1381</v>
      </c>
      <c r="E605" s="103" t="s">
        <v>1382</v>
      </c>
      <c r="F605" s="103">
        <v>34.326667</v>
      </c>
      <c r="G605" s="103">
        <v>45.055796121900002</v>
      </c>
      <c r="H605" s="102">
        <v>525</v>
      </c>
      <c r="I605" s="102">
        <v>3150</v>
      </c>
      <c r="J605" s="103">
        <v>20</v>
      </c>
      <c r="K605" s="103"/>
      <c r="L605" s="103">
        <v>50</v>
      </c>
      <c r="M605" s="103">
        <v>410</v>
      </c>
      <c r="N605" s="103">
        <v>45</v>
      </c>
      <c r="O605" s="103"/>
      <c r="P605" s="103"/>
      <c r="Q605" s="103"/>
      <c r="R605" s="103"/>
      <c r="S605" s="103"/>
      <c r="T605" s="103"/>
      <c r="U605" s="103"/>
      <c r="V605" s="103"/>
      <c r="W605" s="103"/>
      <c r="X605" s="103"/>
      <c r="Y605" s="103"/>
      <c r="Z605" s="103">
        <v>525</v>
      </c>
      <c r="AA605" s="103"/>
      <c r="AB605" s="103"/>
      <c r="AC605" s="103"/>
      <c r="AD605" s="103"/>
      <c r="AE605" s="103"/>
      <c r="AF605" s="103"/>
      <c r="AG605" s="103"/>
      <c r="AH605" s="103"/>
      <c r="AI605" s="103"/>
      <c r="AJ605" s="103"/>
      <c r="AK605" s="103"/>
      <c r="AL605" s="103"/>
      <c r="AM605" s="103"/>
      <c r="AN605" s="103">
        <v>375</v>
      </c>
      <c r="AO605" s="103">
        <v>150</v>
      </c>
      <c r="AP605" s="103"/>
      <c r="AQ605" s="103"/>
      <c r="AR605" s="103"/>
      <c r="AS605" s="103"/>
      <c r="AT605" s="103"/>
      <c r="AU605" s="103"/>
      <c r="AV605" s="103"/>
      <c r="AW605" s="104" t="str">
        <f>HYPERLINK("http://www.openstreetmap.org/?mlat=34.3267&amp;mlon=45.0558&amp;zoom=12#map=12/34.3267/45.0558","Maplink1")</f>
        <v>Maplink1</v>
      </c>
      <c r="AX605" s="104" t="str">
        <f>HYPERLINK("https://www.google.iq/maps/search/+34.3267,45.0558/@34.3267,45.0558,14z?hl=en","Maplink2")</f>
        <v>Maplink2</v>
      </c>
      <c r="AY605" s="104" t="str">
        <f>HYPERLINK("http://www.bing.com/maps/?lvl=14&amp;sty=h&amp;cp=34.3267~45.0558&amp;sp=point.34.3267_45.0558","Maplink3")</f>
        <v>Maplink3</v>
      </c>
    </row>
    <row r="606" spans="1:51" x14ac:dyDescent="0.2">
      <c r="A606" s="102">
        <v>31753</v>
      </c>
      <c r="B606" s="103" t="s">
        <v>32</v>
      </c>
      <c r="C606" s="103" t="s">
        <v>92</v>
      </c>
      <c r="D606" s="103" t="s">
        <v>1356</v>
      </c>
      <c r="E606" s="103" t="s">
        <v>1357</v>
      </c>
      <c r="F606" s="103">
        <v>34.273055999999997</v>
      </c>
      <c r="G606" s="103">
        <v>45.172948199300002</v>
      </c>
      <c r="H606" s="102">
        <v>350</v>
      </c>
      <c r="I606" s="102">
        <v>2100</v>
      </c>
      <c r="J606" s="103"/>
      <c r="K606" s="103"/>
      <c r="L606" s="103"/>
      <c r="M606" s="103">
        <v>315</v>
      </c>
      <c r="N606" s="103">
        <v>35</v>
      </c>
      <c r="O606" s="103"/>
      <c r="P606" s="103"/>
      <c r="Q606" s="103"/>
      <c r="R606" s="103"/>
      <c r="S606" s="103"/>
      <c r="T606" s="103"/>
      <c r="U606" s="103"/>
      <c r="V606" s="103"/>
      <c r="W606" s="103">
        <v>9</v>
      </c>
      <c r="X606" s="103"/>
      <c r="Y606" s="103"/>
      <c r="Z606" s="103">
        <v>280</v>
      </c>
      <c r="AA606" s="103">
        <v>3</v>
      </c>
      <c r="AB606" s="103"/>
      <c r="AC606" s="103">
        <v>8</v>
      </c>
      <c r="AD606" s="103"/>
      <c r="AE606" s="103"/>
      <c r="AF606" s="103"/>
      <c r="AG606" s="103"/>
      <c r="AH606" s="103"/>
      <c r="AI606" s="103"/>
      <c r="AJ606" s="103">
        <v>50</v>
      </c>
      <c r="AK606" s="103"/>
      <c r="AL606" s="103"/>
      <c r="AM606" s="103"/>
      <c r="AN606" s="103">
        <v>150</v>
      </c>
      <c r="AO606" s="103">
        <v>200</v>
      </c>
      <c r="AP606" s="103"/>
      <c r="AQ606" s="103"/>
      <c r="AR606" s="103"/>
      <c r="AS606" s="103"/>
      <c r="AT606" s="103"/>
      <c r="AU606" s="103"/>
      <c r="AV606" s="103"/>
      <c r="AW606" s="104" t="str">
        <f>HYPERLINK("http://www.openstreetmap.org/?mlat=34.2731&amp;mlon=45.1729&amp;zoom=12#map=12/34.2731/45.1729","Maplink1")</f>
        <v>Maplink1</v>
      </c>
      <c r="AX606" s="104" t="str">
        <f>HYPERLINK("https://www.google.iq/maps/search/+34.2731,45.1729/@34.2731,45.1729,14z?hl=en","Maplink2")</f>
        <v>Maplink2</v>
      </c>
      <c r="AY606" s="104" t="str">
        <f>HYPERLINK("http://www.bing.com/maps/?lvl=14&amp;sty=h&amp;cp=34.2731~45.1729&amp;sp=point.34.2731_45.1729","Maplink3")</f>
        <v>Maplink3</v>
      </c>
    </row>
    <row r="607" spans="1:51" x14ac:dyDescent="0.2">
      <c r="A607" s="102">
        <v>31766</v>
      </c>
      <c r="B607" s="103" t="s">
        <v>32</v>
      </c>
      <c r="C607" s="103" t="s">
        <v>92</v>
      </c>
      <c r="D607" s="103" t="s">
        <v>1358</v>
      </c>
      <c r="E607" s="103" t="s">
        <v>1359</v>
      </c>
      <c r="F607" s="103">
        <v>34.262777999999997</v>
      </c>
      <c r="G607" s="103">
        <v>45.159269401700001</v>
      </c>
      <c r="H607" s="102">
        <v>600</v>
      </c>
      <c r="I607" s="102">
        <v>3600</v>
      </c>
      <c r="J607" s="103"/>
      <c r="K607" s="103"/>
      <c r="L607" s="103"/>
      <c r="M607" s="103">
        <v>550</v>
      </c>
      <c r="N607" s="103">
        <v>50</v>
      </c>
      <c r="O607" s="103"/>
      <c r="P607" s="103"/>
      <c r="Q607" s="103"/>
      <c r="R607" s="103"/>
      <c r="S607" s="103"/>
      <c r="T607" s="103"/>
      <c r="U607" s="103"/>
      <c r="V607" s="103"/>
      <c r="W607" s="103">
        <v>15</v>
      </c>
      <c r="X607" s="103"/>
      <c r="Y607" s="103"/>
      <c r="Z607" s="103">
        <v>450</v>
      </c>
      <c r="AA607" s="103"/>
      <c r="AB607" s="103"/>
      <c r="AC607" s="103">
        <v>30</v>
      </c>
      <c r="AD607" s="103"/>
      <c r="AE607" s="103"/>
      <c r="AF607" s="103"/>
      <c r="AG607" s="103"/>
      <c r="AH607" s="103"/>
      <c r="AI607" s="103"/>
      <c r="AJ607" s="103">
        <v>105</v>
      </c>
      <c r="AK607" s="103"/>
      <c r="AL607" s="103"/>
      <c r="AM607" s="103"/>
      <c r="AN607" s="103">
        <v>250</v>
      </c>
      <c r="AO607" s="103">
        <v>350</v>
      </c>
      <c r="AP607" s="103"/>
      <c r="AQ607" s="103"/>
      <c r="AR607" s="103"/>
      <c r="AS607" s="103"/>
      <c r="AT607" s="103"/>
      <c r="AU607" s="103"/>
      <c r="AV607" s="103"/>
      <c r="AW607" s="104" t="str">
        <f>HYPERLINK("http://www.openstreetmap.org/?mlat=34.2628&amp;mlon=45.1593&amp;zoom=12#map=12/34.2628/45.1593","Maplink1")</f>
        <v>Maplink1</v>
      </c>
      <c r="AX607" s="104" t="str">
        <f>HYPERLINK("https://www.google.iq/maps/search/+34.2628,45.1593/@34.2628,45.1593,14z?hl=en","Maplink2")</f>
        <v>Maplink2</v>
      </c>
      <c r="AY607" s="104" t="str">
        <f>HYPERLINK("http://www.bing.com/maps/?lvl=14&amp;sty=h&amp;cp=34.2628~45.1593&amp;sp=point.34.2628_45.1593","Maplink3")</f>
        <v>Maplink3</v>
      </c>
    </row>
    <row r="608" spans="1:51" x14ac:dyDescent="0.2">
      <c r="A608" s="102">
        <v>10560</v>
      </c>
      <c r="B608" s="103" t="s">
        <v>32</v>
      </c>
      <c r="C608" s="103" t="s">
        <v>92</v>
      </c>
      <c r="D608" s="103" t="s">
        <v>1360</v>
      </c>
      <c r="E608" s="103" t="s">
        <v>1361</v>
      </c>
      <c r="F608" s="103">
        <v>34.273290000000003</v>
      </c>
      <c r="G608" s="103">
        <v>45.098717966599999</v>
      </c>
      <c r="H608" s="102">
        <v>155</v>
      </c>
      <c r="I608" s="102">
        <v>930</v>
      </c>
      <c r="J608" s="103"/>
      <c r="K608" s="103"/>
      <c r="L608" s="103"/>
      <c r="M608" s="103">
        <v>105</v>
      </c>
      <c r="N608" s="103">
        <v>50</v>
      </c>
      <c r="O608" s="103"/>
      <c r="P608" s="103"/>
      <c r="Q608" s="103"/>
      <c r="R608" s="103"/>
      <c r="S608" s="103"/>
      <c r="T608" s="103"/>
      <c r="U608" s="103"/>
      <c r="V608" s="103"/>
      <c r="W608" s="103">
        <v>5</v>
      </c>
      <c r="X608" s="103"/>
      <c r="Y608" s="103"/>
      <c r="Z608" s="103">
        <v>140</v>
      </c>
      <c r="AA608" s="103"/>
      <c r="AB608" s="103"/>
      <c r="AC608" s="103">
        <v>10</v>
      </c>
      <c r="AD608" s="103"/>
      <c r="AE608" s="103"/>
      <c r="AF608" s="103"/>
      <c r="AG608" s="103"/>
      <c r="AH608" s="103"/>
      <c r="AI608" s="103"/>
      <c r="AJ608" s="103"/>
      <c r="AK608" s="103"/>
      <c r="AL608" s="103"/>
      <c r="AM608" s="103"/>
      <c r="AN608" s="103"/>
      <c r="AO608" s="103">
        <v>155</v>
      </c>
      <c r="AP608" s="103"/>
      <c r="AQ608" s="103"/>
      <c r="AR608" s="103"/>
      <c r="AS608" s="103"/>
      <c r="AT608" s="103"/>
      <c r="AU608" s="103"/>
      <c r="AV608" s="103"/>
      <c r="AW608" s="104" t="str">
        <f>HYPERLINK("http://www.openstreetmap.org/?mlat=34.2733&amp;mlon=45.0987&amp;zoom=12#map=12/34.2733/45.0987","Maplink1")</f>
        <v>Maplink1</v>
      </c>
      <c r="AX608" s="104" t="str">
        <f>HYPERLINK("https://www.google.iq/maps/search/+34.2733,45.0987/@34.2733,45.0987,14z?hl=en","Maplink2")</f>
        <v>Maplink2</v>
      </c>
      <c r="AY608" s="104" t="str">
        <f>HYPERLINK("http://www.bing.com/maps/?lvl=14&amp;sty=h&amp;cp=34.2733~45.0987&amp;sp=point.34.2733_45.0987","Maplink3")</f>
        <v>Maplink3</v>
      </c>
    </row>
    <row r="609" spans="1:51" x14ac:dyDescent="0.2">
      <c r="A609" s="102">
        <v>33838</v>
      </c>
      <c r="B609" s="103" t="s">
        <v>32</v>
      </c>
      <c r="C609" s="103" t="s">
        <v>92</v>
      </c>
      <c r="D609" s="103" t="s">
        <v>1362</v>
      </c>
      <c r="E609" s="103" t="s">
        <v>1363</v>
      </c>
      <c r="F609" s="103">
        <v>34.240561720000002</v>
      </c>
      <c r="G609" s="103">
        <v>45.083271580000002</v>
      </c>
      <c r="H609" s="102">
        <v>5</v>
      </c>
      <c r="I609" s="102">
        <v>30</v>
      </c>
      <c r="J609" s="103"/>
      <c r="K609" s="103"/>
      <c r="L609" s="103"/>
      <c r="M609" s="103">
        <v>5</v>
      </c>
      <c r="N609" s="103"/>
      <c r="O609" s="103"/>
      <c r="P609" s="103"/>
      <c r="Q609" s="103"/>
      <c r="R609" s="103"/>
      <c r="S609" s="103"/>
      <c r="T609" s="103"/>
      <c r="U609" s="103"/>
      <c r="V609" s="103"/>
      <c r="W609" s="103"/>
      <c r="X609" s="103"/>
      <c r="Y609" s="103"/>
      <c r="Z609" s="103">
        <v>5</v>
      </c>
      <c r="AA609" s="103"/>
      <c r="AB609" s="103"/>
      <c r="AC609" s="103"/>
      <c r="AD609" s="103"/>
      <c r="AE609" s="103"/>
      <c r="AF609" s="103"/>
      <c r="AG609" s="103"/>
      <c r="AH609" s="103"/>
      <c r="AI609" s="103"/>
      <c r="AJ609" s="103"/>
      <c r="AK609" s="103"/>
      <c r="AL609" s="103"/>
      <c r="AM609" s="103"/>
      <c r="AN609" s="103"/>
      <c r="AO609" s="103">
        <v>5</v>
      </c>
      <c r="AP609" s="103"/>
      <c r="AQ609" s="103"/>
      <c r="AR609" s="103"/>
      <c r="AS609" s="103"/>
      <c r="AT609" s="103"/>
      <c r="AU609" s="103"/>
      <c r="AV609" s="103"/>
      <c r="AW609" s="104" t="str">
        <f>HYPERLINK("http://www.openstreetmap.org/?mlat=34.2406&amp;mlon=45.0833&amp;zoom=12#map=12/34.2406/45.0833","Maplink1")</f>
        <v>Maplink1</v>
      </c>
      <c r="AX609" s="104" t="str">
        <f>HYPERLINK("https://www.google.iq/maps/search/+34.2406,45.0833/@34.2406,45.0833,14z?hl=en","Maplink2")</f>
        <v>Maplink2</v>
      </c>
      <c r="AY609" s="104" t="str">
        <f>HYPERLINK("http://www.bing.com/maps/?lvl=14&amp;sty=h&amp;cp=34.2406~45.0833&amp;sp=point.34.2406_45.0833","Maplink3")</f>
        <v>Maplink3</v>
      </c>
    </row>
    <row r="610" spans="1:51" x14ac:dyDescent="0.2">
      <c r="A610" s="102">
        <v>27392</v>
      </c>
      <c r="B610" s="103" t="s">
        <v>32</v>
      </c>
      <c r="C610" s="103" t="s">
        <v>92</v>
      </c>
      <c r="D610" s="103" t="s">
        <v>1364</v>
      </c>
      <c r="E610" s="103" t="s">
        <v>1365</v>
      </c>
      <c r="F610" s="103">
        <v>34.185584178299997</v>
      </c>
      <c r="G610" s="103">
        <v>45.119485416300002</v>
      </c>
      <c r="H610" s="102">
        <v>378</v>
      </c>
      <c r="I610" s="102">
        <v>2268</v>
      </c>
      <c r="J610" s="103"/>
      <c r="K610" s="103"/>
      <c r="L610" s="103"/>
      <c r="M610" s="103">
        <v>350</v>
      </c>
      <c r="N610" s="103">
        <v>28</v>
      </c>
      <c r="O610" s="103"/>
      <c r="P610" s="103"/>
      <c r="Q610" s="103"/>
      <c r="R610" s="103"/>
      <c r="S610" s="103"/>
      <c r="T610" s="103"/>
      <c r="U610" s="103"/>
      <c r="V610" s="103"/>
      <c r="W610" s="103"/>
      <c r="X610" s="103"/>
      <c r="Y610" s="103"/>
      <c r="Z610" s="103">
        <v>340</v>
      </c>
      <c r="AA610" s="103"/>
      <c r="AB610" s="103"/>
      <c r="AC610" s="103">
        <v>15</v>
      </c>
      <c r="AD610" s="103"/>
      <c r="AE610" s="103"/>
      <c r="AF610" s="103"/>
      <c r="AG610" s="103"/>
      <c r="AH610" s="103"/>
      <c r="AI610" s="103"/>
      <c r="AJ610" s="103">
        <v>23</v>
      </c>
      <c r="AK610" s="103"/>
      <c r="AL610" s="103"/>
      <c r="AM610" s="103"/>
      <c r="AN610" s="103">
        <v>378</v>
      </c>
      <c r="AO610" s="103"/>
      <c r="AP610" s="103"/>
      <c r="AQ610" s="103"/>
      <c r="AR610" s="103"/>
      <c r="AS610" s="103"/>
      <c r="AT610" s="103"/>
      <c r="AU610" s="103"/>
      <c r="AV610" s="103"/>
      <c r="AW610" s="104" t="str">
        <f>HYPERLINK("http://www.openstreetmap.org/?mlat=34.1856&amp;mlon=45.1195&amp;zoom=12#map=12/34.1856/45.1195","Maplink1")</f>
        <v>Maplink1</v>
      </c>
      <c r="AX610" s="104" t="str">
        <f>HYPERLINK("https://www.google.iq/maps/search/+34.1856,45.1195/@34.1856,45.1195,14z?hl=en","Maplink2")</f>
        <v>Maplink2</v>
      </c>
      <c r="AY610" s="104" t="str">
        <f>HYPERLINK("http://www.bing.com/maps/?lvl=14&amp;sty=h&amp;cp=34.1856~45.1195&amp;sp=point.34.1856_45.1195","Maplink3")</f>
        <v>Maplink3</v>
      </c>
    </row>
    <row r="611" spans="1:51" x14ac:dyDescent="0.2">
      <c r="A611" s="102">
        <v>33442</v>
      </c>
      <c r="B611" s="103" t="s">
        <v>32</v>
      </c>
      <c r="C611" s="103" t="s">
        <v>92</v>
      </c>
      <c r="D611" s="103" t="s">
        <v>1366</v>
      </c>
      <c r="E611" s="103" t="s">
        <v>1367</v>
      </c>
      <c r="F611" s="103">
        <v>34.283906000000002</v>
      </c>
      <c r="G611" s="103">
        <v>45.044683386400003</v>
      </c>
      <c r="H611" s="102">
        <v>20</v>
      </c>
      <c r="I611" s="102">
        <v>120</v>
      </c>
      <c r="J611" s="103"/>
      <c r="K611" s="103"/>
      <c r="L611" s="103"/>
      <c r="M611" s="103">
        <v>15</v>
      </c>
      <c r="N611" s="103">
        <v>5</v>
      </c>
      <c r="O611" s="103"/>
      <c r="P611" s="103"/>
      <c r="Q611" s="103"/>
      <c r="R611" s="103"/>
      <c r="S611" s="103"/>
      <c r="T611" s="103"/>
      <c r="U611" s="103"/>
      <c r="V611" s="103"/>
      <c r="W611" s="103"/>
      <c r="X611" s="103"/>
      <c r="Y611" s="103"/>
      <c r="Z611" s="103">
        <v>20</v>
      </c>
      <c r="AA611" s="103"/>
      <c r="AB611" s="103"/>
      <c r="AC611" s="103"/>
      <c r="AD611" s="103"/>
      <c r="AE611" s="103"/>
      <c r="AF611" s="103"/>
      <c r="AG611" s="103"/>
      <c r="AH611" s="103"/>
      <c r="AI611" s="103"/>
      <c r="AJ611" s="103"/>
      <c r="AK611" s="103"/>
      <c r="AL611" s="103"/>
      <c r="AM611" s="103"/>
      <c r="AN611" s="103"/>
      <c r="AO611" s="103">
        <v>20</v>
      </c>
      <c r="AP611" s="103"/>
      <c r="AQ611" s="103"/>
      <c r="AR611" s="103"/>
      <c r="AS611" s="103"/>
      <c r="AT611" s="103"/>
      <c r="AU611" s="103"/>
      <c r="AV611" s="103"/>
      <c r="AW611" s="104" t="str">
        <f>HYPERLINK("http://www.openstreetmap.org/?mlat=34.2839&amp;mlon=45.0447&amp;zoom=12#map=12/34.2839/45.0447","Maplink1")</f>
        <v>Maplink1</v>
      </c>
      <c r="AX611" s="104" t="str">
        <f>HYPERLINK("https://www.google.iq/maps/search/+34.2839,45.0447/@34.2839,45.0447,14z?hl=en","Maplink2")</f>
        <v>Maplink2</v>
      </c>
      <c r="AY611" s="104" t="str">
        <f>HYPERLINK("http://www.bing.com/maps/?lvl=14&amp;sty=h&amp;cp=34.2839~45.0447&amp;sp=point.34.2839_45.0447","Maplink3")</f>
        <v>Maplink3</v>
      </c>
    </row>
    <row r="612" spans="1:51" x14ac:dyDescent="0.2">
      <c r="A612" s="102">
        <v>31749</v>
      </c>
      <c r="B612" s="103" t="s">
        <v>32</v>
      </c>
      <c r="C612" s="103" t="s">
        <v>92</v>
      </c>
      <c r="D612" s="103" t="s">
        <v>1368</v>
      </c>
      <c r="E612" s="103" t="s">
        <v>1369</v>
      </c>
      <c r="F612" s="103">
        <v>34.277222000000002</v>
      </c>
      <c r="G612" s="103">
        <v>45.166075745599997</v>
      </c>
      <c r="H612" s="102">
        <v>200</v>
      </c>
      <c r="I612" s="102">
        <v>1200</v>
      </c>
      <c r="J612" s="103"/>
      <c r="K612" s="103"/>
      <c r="L612" s="103">
        <v>10</v>
      </c>
      <c r="M612" s="103">
        <v>160</v>
      </c>
      <c r="N612" s="103">
        <v>30</v>
      </c>
      <c r="O612" s="103"/>
      <c r="P612" s="103"/>
      <c r="Q612" s="103"/>
      <c r="R612" s="103"/>
      <c r="S612" s="103"/>
      <c r="T612" s="103"/>
      <c r="U612" s="103"/>
      <c r="V612" s="103"/>
      <c r="W612" s="103">
        <v>5</v>
      </c>
      <c r="X612" s="103"/>
      <c r="Y612" s="103"/>
      <c r="Z612" s="103">
        <v>135</v>
      </c>
      <c r="AA612" s="103"/>
      <c r="AB612" s="103"/>
      <c r="AC612" s="103">
        <v>10</v>
      </c>
      <c r="AD612" s="103"/>
      <c r="AE612" s="103"/>
      <c r="AF612" s="103"/>
      <c r="AG612" s="103"/>
      <c r="AH612" s="103"/>
      <c r="AI612" s="103"/>
      <c r="AJ612" s="103">
        <v>50</v>
      </c>
      <c r="AK612" s="103"/>
      <c r="AL612" s="103"/>
      <c r="AM612" s="103"/>
      <c r="AN612" s="103">
        <v>100</v>
      </c>
      <c r="AO612" s="103">
        <v>100</v>
      </c>
      <c r="AP612" s="103"/>
      <c r="AQ612" s="103"/>
      <c r="AR612" s="103"/>
      <c r="AS612" s="103"/>
      <c r="AT612" s="103"/>
      <c r="AU612" s="103"/>
      <c r="AV612" s="103"/>
      <c r="AW612" s="104" t="str">
        <f>HYPERLINK("http://www.openstreetmap.org/?mlat=34.2772&amp;mlon=45.1661&amp;zoom=12#map=12/34.2772/45.1661","Maplink1")</f>
        <v>Maplink1</v>
      </c>
      <c r="AX612" s="104" t="str">
        <f>HYPERLINK("https://www.google.iq/maps/search/+34.2772,45.1661/@34.2772,45.1661,14z?hl=en","Maplink2")</f>
        <v>Maplink2</v>
      </c>
      <c r="AY612" s="104" t="str">
        <f>HYPERLINK("http://www.bing.com/maps/?lvl=14&amp;sty=h&amp;cp=34.2772~45.1661&amp;sp=point.34.2772_45.1661","Maplink3")</f>
        <v>Maplink3</v>
      </c>
    </row>
    <row r="613" spans="1:51" x14ac:dyDescent="0.2">
      <c r="A613" s="102">
        <v>31768</v>
      </c>
      <c r="B613" s="103" t="s">
        <v>32</v>
      </c>
      <c r="C613" s="103" t="s">
        <v>92</v>
      </c>
      <c r="D613" s="103" t="s">
        <v>1370</v>
      </c>
      <c r="E613" s="103" t="s">
        <v>1371</v>
      </c>
      <c r="F613" s="103">
        <v>34.228810000000003</v>
      </c>
      <c r="G613" s="103">
        <v>45.232013655999999</v>
      </c>
      <c r="H613" s="102">
        <v>31</v>
      </c>
      <c r="I613" s="102">
        <v>186</v>
      </c>
      <c r="J613" s="103"/>
      <c r="K613" s="103"/>
      <c r="L613" s="103"/>
      <c r="M613" s="103">
        <v>31</v>
      </c>
      <c r="N613" s="103"/>
      <c r="O613" s="103"/>
      <c r="P613" s="103"/>
      <c r="Q613" s="103"/>
      <c r="R613" s="103"/>
      <c r="S613" s="103"/>
      <c r="T613" s="103"/>
      <c r="U613" s="103"/>
      <c r="V613" s="103"/>
      <c r="W613" s="103"/>
      <c r="X613" s="103"/>
      <c r="Y613" s="103"/>
      <c r="Z613" s="103">
        <v>31</v>
      </c>
      <c r="AA613" s="103"/>
      <c r="AB613" s="103"/>
      <c r="AC613" s="103"/>
      <c r="AD613" s="103"/>
      <c r="AE613" s="103"/>
      <c r="AF613" s="103"/>
      <c r="AG613" s="103"/>
      <c r="AH613" s="103"/>
      <c r="AI613" s="103"/>
      <c r="AJ613" s="103"/>
      <c r="AK613" s="103"/>
      <c r="AL613" s="103"/>
      <c r="AM613" s="103"/>
      <c r="AN613" s="103"/>
      <c r="AO613" s="103">
        <v>31</v>
      </c>
      <c r="AP613" s="103"/>
      <c r="AQ613" s="103"/>
      <c r="AR613" s="103"/>
      <c r="AS613" s="103"/>
      <c r="AT613" s="103"/>
      <c r="AU613" s="103"/>
      <c r="AV613" s="103"/>
      <c r="AW613" s="104" t="str">
        <f>HYPERLINK("http://www.openstreetmap.org/?mlat=34.2288&amp;mlon=45.232&amp;zoom=12#map=12/34.2288/45.232","Maplink1")</f>
        <v>Maplink1</v>
      </c>
      <c r="AX613" s="104" t="str">
        <f>HYPERLINK("https://www.google.iq/maps/search/+34.2288,45.232/@34.2288,45.232,14z?hl=en","Maplink2")</f>
        <v>Maplink2</v>
      </c>
      <c r="AY613" s="104" t="str">
        <f>HYPERLINK("http://www.bing.com/maps/?lvl=14&amp;sty=h&amp;cp=34.2288~45.232&amp;sp=point.34.2288_45.232","Maplink3")</f>
        <v>Maplink3</v>
      </c>
    </row>
    <row r="614" spans="1:51" x14ac:dyDescent="0.2">
      <c r="A614" s="102">
        <v>26124</v>
      </c>
      <c r="B614" s="103" t="s">
        <v>32</v>
      </c>
      <c r="C614" s="103" t="s">
        <v>92</v>
      </c>
      <c r="D614" s="103" t="s">
        <v>1404</v>
      </c>
      <c r="E614" s="103" t="s">
        <v>1405</v>
      </c>
      <c r="F614" s="103">
        <v>34.188362410000003</v>
      </c>
      <c r="G614" s="103">
        <v>45.117840057800002</v>
      </c>
      <c r="H614" s="102">
        <v>308</v>
      </c>
      <c r="I614" s="102">
        <v>1848</v>
      </c>
      <c r="J614" s="103"/>
      <c r="K614" s="103"/>
      <c r="L614" s="103"/>
      <c r="M614" s="103">
        <v>270</v>
      </c>
      <c r="N614" s="103">
        <v>38</v>
      </c>
      <c r="O614" s="103"/>
      <c r="P614" s="103"/>
      <c r="Q614" s="103"/>
      <c r="R614" s="103"/>
      <c r="S614" s="103"/>
      <c r="T614" s="103"/>
      <c r="U614" s="103"/>
      <c r="V614" s="103"/>
      <c r="W614" s="103"/>
      <c r="X614" s="103"/>
      <c r="Y614" s="103"/>
      <c r="Z614" s="103">
        <v>280</v>
      </c>
      <c r="AA614" s="103">
        <v>5</v>
      </c>
      <c r="AB614" s="103"/>
      <c r="AC614" s="103">
        <v>11</v>
      </c>
      <c r="AD614" s="103"/>
      <c r="AE614" s="103"/>
      <c r="AF614" s="103"/>
      <c r="AG614" s="103"/>
      <c r="AH614" s="103"/>
      <c r="AI614" s="103"/>
      <c r="AJ614" s="103">
        <v>12</v>
      </c>
      <c r="AK614" s="103"/>
      <c r="AL614" s="103"/>
      <c r="AM614" s="103"/>
      <c r="AN614" s="103">
        <v>308</v>
      </c>
      <c r="AO614" s="103"/>
      <c r="AP614" s="103"/>
      <c r="AQ614" s="103"/>
      <c r="AR614" s="103"/>
      <c r="AS614" s="103"/>
      <c r="AT614" s="103"/>
      <c r="AU614" s="103"/>
      <c r="AV614" s="103"/>
      <c r="AW614" s="104" t="str">
        <f>HYPERLINK("http://www.openstreetmap.org/?mlat=34.1884&amp;mlon=45.1178&amp;zoom=12#map=12/34.1884/45.1178","Maplink1")</f>
        <v>Maplink1</v>
      </c>
      <c r="AX614" s="104" t="str">
        <f>HYPERLINK("https://www.google.iq/maps/search/+34.1884,45.1178/@34.1884,45.1178,14z?hl=en","Maplink2")</f>
        <v>Maplink2</v>
      </c>
      <c r="AY614" s="104" t="str">
        <f>HYPERLINK("http://www.bing.com/maps/?lvl=14&amp;sty=h&amp;cp=34.1884~45.1178&amp;sp=point.34.1884_45.1178","Maplink3")</f>
        <v>Maplink3</v>
      </c>
    </row>
    <row r="615" spans="1:51" x14ac:dyDescent="0.2">
      <c r="A615" s="102">
        <v>31745</v>
      </c>
      <c r="B615" s="103" t="s">
        <v>32</v>
      </c>
      <c r="C615" s="103" t="s">
        <v>92</v>
      </c>
      <c r="D615" s="103" t="s">
        <v>1406</v>
      </c>
      <c r="E615" s="103" t="s">
        <v>1407</v>
      </c>
      <c r="F615" s="103">
        <v>34.28763</v>
      </c>
      <c r="G615" s="103">
        <v>45.161476451699997</v>
      </c>
      <c r="H615" s="102">
        <v>280</v>
      </c>
      <c r="I615" s="102">
        <v>1680</v>
      </c>
      <c r="J615" s="103"/>
      <c r="K615" s="103"/>
      <c r="L615" s="103"/>
      <c r="M615" s="103">
        <v>250</v>
      </c>
      <c r="N615" s="103">
        <v>30</v>
      </c>
      <c r="O615" s="103"/>
      <c r="P615" s="103"/>
      <c r="Q615" s="103"/>
      <c r="R615" s="103"/>
      <c r="S615" s="103"/>
      <c r="T615" s="103"/>
      <c r="U615" s="103"/>
      <c r="V615" s="103"/>
      <c r="W615" s="103">
        <v>8</v>
      </c>
      <c r="X615" s="103"/>
      <c r="Y615" s="103"/>
      <c r="Z615" s="103">
        <v>215</v>
      </c>
      <c r="AA615" s="103"/>
      <c r="AB615" s="103"/>
      <c r="AC615" s="103">
        <v>7</v>
      </c>
      <c r="AD615" s="103"/>
      <c r="AE615" s="103"/>
      <c r="AF615" s="103"/>
      <c r="AG615" s="103"/>
      <c r="AH615" s="103"/>
      <c r="AI615" s="103"/>
      <c r="AJ615" s="103">
        <v>50</v>
      </c>
      <c r="AK615" s="103"/>
      <c r="AL615" s="103"/>
      <c r="AM615" s="103"/>
      <c r="AN615" s="103">
        <v>80</v>
      </c>
      <c r="AO615" s="103">
        <v>200</v>
      </c>
      <c r="AP615" s="103"/>
      <c r="AQ615" s="103"/>
      <c r="AR615" s="103"/>
      <c r="AS615" s="103"/>
      <c r="AT615" s="103"/>
      <c r="AU615" s="103"/>
      <c r="AV615" s="103"/>
      <c r="AW615" s="104" t="str">
        <f>HYPERLINK("http://www.openstreetmap.org/?mlat=34.2876&amp;mlon=45.1615&amp;zoom=12#map=12/34.2876/45.1615","Maplink1")</f>
        <v>Maplink1</v>
      </c>
      <c r="AX615" s="104" t="str">
        <f>HYPERLINK("https://www.google.iq/maps/search/+34.2876,45.1615/@34.2876,45.1615,14z?hl=en","Maplink2")</f>
        <v>Maplink2</v>
      </c>
      <c r="AY615" s="104" t="str">
        <f>HYPERLINK("http://www.bing.com/maps/?lvl=14&amp;sty=h&amp;cp=34.2876~45.1615&amp;sp=point.34.2876_45.1615","Maplink3")</f>
        <v>Maplink3</v>
      </c>
    </row>
    <row r="616" spans="1:51" x14ac:dyDescent="0.2">
      <c r="A616" s="102">
        <v>33480</v>
      </c>
      <c r="B616" s="103" t="s">
        <v>32</v>
      </c>
      <c r="C616" s="103" t="s">
        <v>92</v>
      </c>
      <c r="D616" s="103" t="s">
        <v>1408</v>
      </c>
      <c r="E616" s="103" t="s">
        <v>1409</v>
      </c>
      <c r="F616" s="103">
        <v>34.270535899999999</v>
      </c>
      <c r="G616" s="103">
        <v>45.046321800699999</v>
      </c>
      <c r="H616" s="102">
        <v>35</v>
      </c>
      <c r="I616" s="102">
        <v>210</v>
      </c>
      <c r="J616" s="103"/>
      <c r="K616" s="103"/>
      <c r="L616" s="103"/>
      <c r="M616" s="103">
        <v>30</v>
      </c>
      <c r="N616" s="103">
        <v>5</v>
      </c>
      <c r="O616" s="103"/>
      <c r="P616" s="103"/>
      <c r="Q616" s="103"/>
      <c r="R616" s="103"/>
      <c r="S616" s="103"/>
      <c r="T616" s="103"/>
      <c r="U616" s="103"/>
      <c r="V616" s="103"/>
      <c r="W616" s="103"/>
      <c r="X616" s="103"/>
      <c r="Y616" s="103"/>
      <c r="Z616" s="103">
        <v>35</v>
      </c>
      <c r="AA616" s="103"/>
      <c r="AB616" s="103"/>
      <c r="AC616" s="103"/>
      <c r="AD616" s="103"/>
      <c r="AE616" s="103"/>
      <c r="AF616" s="103"/>
      <c r="AG616" s="103"/>
      <c r="AH616" s="103"/>
      <c r="AI616" s="103"/>
      <c r="AJ616" s="103"/>
      <c r="AK616" s="103"/>
      <c r="AL616" s="103"/>
      <c r="AM616" s="103"/>
      <c r="AN616" s="103"/>
      <c r="AO616" s="103">
        <v>35</v>
      </c>
      <c r="AP616" s="103"/>
      <c r="AQ616" s="103"/>
      <c r="AR616" s="103"/>
      <c r="AS616" s="103"/>
      <c r="AT616" s="103"/>
      <c r="AU616" s="103"/>
      <c r="AV616" s="103"/>
      <c r="AW616" s="104" t="str">
        <f>HYPERLINK("http://www.openstreetmap.org/?mlat=34.2705&amp;mlon=45.0463&amp;zoom=12#map=12/34.2705/45.0463","Maplink1")</f>
        <v>Maplink1</v>
      </c>
      <c r="AX616" s="104" t="str">
        <f>HYPERLINK("https://www.google.iq/maps/search/+34.2705,45.0463/@34.2705,45.0463,14z?hl=en","Maplink2")</f>
        <v>Maplink2</v>
      </c>
      <c r="AY616" s="104" t="str">
        <f>HYPERLINK("http://www.bing.com/maps/?lvl=14&amp;sty=h&amp;cp=34.2705~45.0463&amp;sp=point.34.2705_45.0463","Maplink3")</f>
        <v>Maplink3</v>
      </c>
    </row>
    <row r="617" spans="1:51" x14ac:dyDescent="0.2">
      <c r="A617" s="102">
        <v>31759</v>
      </c>
      <c r="B617" s="103" t="s">
        <v>32</v>
      </c>
      <c r="C617" s="103" t="s">
        <v>92</v>
      </c>
      <c r="D617" s="103" t="s">
        <v>1375</v>
      </c>
      <c r="E617" s="103" t="s">
        <v>1376</v>
      </c>
      <c r="F617" s="103">
        <v>34.284166999999997</v>
      </c>
      <c r="G617" s="103">
        <v>45.173379669299997</v>
      </c>
      <c r="H617" s="102">
        <v>320</v>
      </c>
      <c r="I617" s="102">
        <v>1920</v>
      </c>
      <c r="J617" s="103"/>
      <c r="K617" s="103"/>
      <c r="L617" s="103">
        <v>10</v>
      </c>
      <c r="M617" s="103">
        <v>290</v>
      </c>
      <c r="N617" s="103">
        <v>20</v>
      </c>
      <c r="O617" s="103"/>
      <c r="P617" s="103"/>
      <c r="Q617" s="103"/>
      <c r="R617" s="103"/>
      <c r="S617" s="103"/>
      <c r="T617" s="103"/>
      <c r="U617" s="103"/>
      <c r="V617" s="103"/>
      <c r="W617" s="103">
        <v>9</v>
      </c>
      <c r="X617" s="103"/>
      <c r="Y617" s="103"/>
      <c r="Z617" s="103">
        <v>258</v>
      </c>
      <c r="AA617" s="103"/>
      <c r="AB617" s="103"/>
      <c r="AC617" s="103">
        <v>5</v>
      </c>
      <c r="AD617" s="103"/>
      <c r="AE617" s="103"/>
      <c r="AF617" s="103"/>
      <c r="AG617" s="103"/>
      <c r="AH617" s="103"/>
      <c r="AI617" s="103"/>
      <c r="AJ617" s="103">
        <v>48</v>
      </c>
      <c r="AK617" s="103"/>
      <c r="AL617" s="103"/>
      <c r="AM617" s="103"/>
      <c r="AN617" s="103">
        <v>100</v>
      </c>
      <c r="AO617" s="103">
        <v>220</v>
      </c>
      <c r="AP617" s="103"/>
      <c r="AQ617" s="103"/>
      <c r="AR617" s="103"/>
      <c r="AS617" s="103"/>
      <c r="AT617" s="103"/>
      <c r="AU617" s="103"/>
      <c r="AV617" s="103"/>
      <c r="AW617" s="104" t="str">
        <f>HYPERLINK("http://www.openstreetmap.org/?mlat=34.2842&amp;mlon=45.1734&amp;zoom=12#map=12/34.2842/45.1734","Maplink1")</f>
        <v>Maplink1</v>
      </c>
      <c r="AX617" s="104" t="str">
        <f>HYPERLINK("https://www.google.iq/maps/search/+34.2842,45.1734/@34.2842,45.1734,14z?hl=en","Maplink2")</f>
        <v>Maplink2</v>
      </c>
      <c r="AY617" s="104" t="str">
        <f>HYPERLINK("http://www.bing.com/maps/?lvl=14&amp;sty=h&amp;cp=34.2842~45.1734&amp;sp=point.34.2842_45.1734","Maplink3")</f>
        <v>Maplink3</v>
      </c>
    </row>
    <row r="618" spans="1:51" x14ac:dyDescent="0.2">
      <c r="A618" s="102">
        <v>33585</v>
      </c>
      <c r="B618" s="103" t="s">
        <v>32</v>
      </c>
      <c r="C618" s="103" t="s">
        <v>92</v>
      </c>
      <c r="D618" s="103" t="s">
        <v>1383</v>
      </c>
      <c r="E618" s="103" t="s">
        <v>1384</v>
      </c>
      <c r="F618" s="103">
        <v>34.268529299999997</v>
      </c>
      <c r="G618" s="103">
        <v>45.159879009900003</v>
      </c>
      <c r="H618" s="102">
        <v>295</v>
      </c>
      <c r="I618" s="102">
        <v>1770</v>
      </c>
      <c r="J618" s="103"/>
      <c r="K618" s="103"/>
      <c r="L618" s="103"/>
      <c r="M618" s="103">
        <v>275</v>
      </c>
      <c r="N618" s="103">
        <v>20</v>
      </c>
      <c r="O618" s="103"/>
      <c r="P618" s="103"/>
      <c r="Q618" s="103"/>
      <c r="R618" s="103"/>
      <c r="S618" s="103"/>
      <c r="T618" s="103"/>
      <c r="U618" s="103"/>
      <c r="V618" s="103"/>
      <c r="W618" s="103">
        <v>5</v>
      </c>
      <c r="X618" s="103"/>
      <c r="Y618" s="103"/>
      <c r="Z618" s="103">
        <v>220</v>
      </c>
      <c r="AA618" s="103"/>
      <c r="AB618" s="103"/>
      <c r="AC618" s="103">
        <v>10</v>
      </c>
      <c r="AD618" s="103"/>
      <c r="AE618" s="103"/>
      <c r="AF618" s="103"/>
      <c r="AG618" s="103"/>
      <c r="AH618" s="103"/>
      <c r="AI618" s="103"/>
      <c r="AJ618" s="103">
        <v>60</v>
      </c>
      <c r="AK618" s="103"/>
      <c r="AL618" s="103"/>
      <c r="AM618" s="103"/>
      <c r="AN618" s="103">
        <v>95</v>
      </c>
      <c r="AO618" s="103">
        <v>200</v>
      </c>
      <c r="AP618" s="103"/>
      <c r="AQ618" s="103"/>
      <c r="AR618" s="103"/>
      <c r="AS618" s="103"/>
      <c r="AT618" s="103"/>
      <c r="AU618" s="103"/>
      <c r="AV618" s="103"/>
      <c r="AW618" s="104" t="str">
        <f>HYPERLINK("http://www.openstreetmap.org/?mlat=34.2685&amp;mlon=45.1599&amp;zoom=12#map=12/34.2685/45.1599","Maplink1")</f>
        <v>Maplink1</v>
      </c>
      <c r="AX618" s="104" t="str">
        <f>HYPERLINK("https://www.google.iq/maps/search/+34.2685,45.1599/@34.2685,45.1599,14z?hl=en","Maplink2")</f>
        <v>Maplink2</v>
      </c>
      <c r="AY618" s="104" t="str">
        <f>HYPERLINK("http://www.bing.com/maps/?lvl=14&amp;sty=h&amp;cp=34.2685~45.1599&amp;sp=point.34.2685_45.1599","Maplink3")</f>
        <v>Maplink3</v>
      </c>
    </row>
    <row r="619" spans="1:51" x14ac:dyDescent="0.2">
      <c r="A619" s="102">
        <v>31747</v>
      </c>
      <c r="B619" s="103" t="s">
        <v>32</v>
      </c>
      <c r="C619" s="103" t="s">
        <v>92</v>
      </c>
      <c r="D619" s="103" t="s">
        <v>1402</v>
      </c>
      <c r="E619" s="103" t="s">
        <v>1403</v>
      </c>
      <c r="F619" s="103">
        <v>34.288611000000003</v>
      </c>
      <c r="G619" s="103">
        <v>45.167936396800002</v>
      </c>
      <c r="H619" s="102">
        <v>175</v>
      </c>
      <c r="I619" s="102">
        <v>1050</v>
      </c>
      <c r="J619" s="103"/>
      <c r="K619" s="103"/>
      <c r="L619" s="103"/>
      <c r="M619" s="103">
        <v>150</v>
      </c>
      <c r="N619" s="103">
        <v>25</v>
      </c>
      <c r="O619" s="103"/>
      <c r="P619" s="103"/>
      <c r="Q619" s="103"/>
      <c r="R619" s="103"/>
      <c r="S619" s="103"/>
      <c r="T619" s="103"/>
      <c r="U619" s="103"/>
      <c r="V619" s="103"/>
      <c r="W619" s="103"/>
      <c r="X619" s="103"/>
      <c r="Y619" s="103"/>
      <c r="Z619" s="103">
        <v>145</v>
      </c>
      <c r="AA619" s="103"/>
      <c r="AB619" s="103"/>
      <c r="AC619" s="103">
        <v>5</v>
      </c>
      <c r="AD619" s="103"/>
      <c r="AE619" s="103"/>
      <c r="AF619" s="103"/>
      <c r="AG619" s="103"/>
      <c r="AH619" s="103"/>
      <c r="AI619" s="103"/>
      <c r="AJ619" s="103">
        <v>25</v>
      </c>
      <c r="AK619" s="103"/>
      <c r="AL619" s="103"/>
      <c r="AM619" s="103"/>
      <c r="AN619" s="103">
        <v>80</v>
      </c>
      <c r="AO619" s="103">
        <v>95</v>
      </c>
      <c r="AP619" s="103"/>
      <c r="AQ619" s="103"/>
      <c r="AR619" s="103"/>
      <c r="AS619" s="103"/>
      <c r="AT619" s="103"/>
      <c r="AU619" s="103"/>
      <c r="AV619" s="103"/>
      <c r="AW619" s="104" t="str">
        <f>HYPERLINK("http://www.openstreetmap.org/?mlat=34.2886&amp;mlon=45.1679&amp;zoom=12#map=12/34.2886/45.1679","Maplink1")</f>
        <v>Maplink1</v>
      </c>
      <c r="AX619" s="104" t="str">
        <f>HYPERLINK("https://www.google.iq/maps/search/+34.2886,45.1679/@34.2886,45.1679,14z?hl=en","Maplink2")</f>
        <v>Maplink2</v>
      </c>
      <c r="AY619" s="104" t="str">
        <f>HYPERLINK("http://www.bing.com/maps/?lvl=14&amp;sty=h&amp;cp=34.2886~45.1679&amp;sp=point.34.2886_45.1679","Maplink3")</f>
        <v>Maplink3</v>
      </c>
    </row>
    <row r="620" spans="1:51" x14ac:dyDescent="0.2">
      <c r="A620" s="102">
        <v>31760</v>
      </c>
      <c r="B620" s="103" t="s">
        <v>32</v>
      </c>
      <c r="C620" s="103" t="s">
        <v>92</v>
      </c>
      <c r="D620" s="103" t="s">
        <v>1385</v>
      </c>
      <c r="E620" s="103" t="s">
        <v>1386</v>
      </c>
      <c r="F620" s="103">
        <v>34.276111</v>
      </c>
      <c r="G620" s="103">
        <v>45.176121452099999</v>
      </c>
      <c r="H620" s="102">
        <v>350</v>
      </c>
      <c r="I620" s="102">
        <v>2100</v>
      </c>
      <c r="J620" s="103"/>
      <c r="K620" s="103"/>
      <c r="L620" s="103">
        <v>10</v>
      </c>
      <c r="M620" s="103">
        <v>310</v>
      </c>
      <c r="N620" s="103">
        <v>30</v>
      </c>
      <c r="O620" s="103"/>
      <c r="P620" s="103"/>
      <c r="Q620" s="103"/>
      <c r="R620" s="103"/>
      <c r="S620" s="103"/>
      <c r="T620" s="103"/>
      <c r="U620" s="103"/>
      <c r="V620" s="103"/>
      <c r="W620" s="103">
        <v>10</v>
      </c>
      <c r="X620" s="103"/>
      <c r="Y620" s="103"/>
      <c r="Z620" s="103">
        <v>280</v>
      </c>
      <c r="AA620" s="103"/>
      <c r="AB620" s="103"/>
      <c r="AC620" s="103"/>
      <c r="AD620" s="103"/>
      <c r="AE620" s="103"/>
      <c r="AF620" s="103"/>
      <c r="AG620" s="103"/>
      <c r="AH620" s="103"/>
      <c r="AI620" s="103"/>
      <c r="AJ620" s="103">
        <v>60</v>
      </c>
      <c r="AK620" s="103"/>
      <c r="AL620" s="103"/>
      <c r="AM620" s="103"/>
      <c r="AN620" s="103">
        <v>100</v>
      </c>
      <c r="AO620" s="103">
        <v>250</v>
      </c>
      <c r="AP620" s="103"/>
      <c r="AQ620" s="103"/>
      <c r="AR620" s="103"/>
      <c r="AS620" s="103"/>
      <c r="AT620" s="103"/>
      <c r="AU620" s="103"/>
      <c r="AV620" s="103"/>
      <c r="AW620" s="104" t="str">
        <f>HYPERLINK("http://www.openstreetmap.org/?mlat=34.2761&amp;mlon=45.1761&amp;zoom=12#map=12/34.2761/45.1761","Maplink1")</f>
        <v>Maplink1</v>
      </c>
      <c r="AX620" s="104" t="str">
        <f>HYPERLINK("https://www.google.iq/maps/search/+34.2761,45.1761/@34.2761,45.1761,14z?hl=en","Maplink2")</f>
        <v>Maplink2</v>
      </c>
      <c r="AY620" s="104" t="str">
        <f>HYPERLINK("http://www.bing.com/maps/?lvl=14&amp;sty=h&amp;cp=34.2761~45.1761&amp;sp=point.34.2761_45.1761","Maplink3")</f>
        <v>Maplink3</v>
      </c>
    </row>
    <row r="621" spans="1:51" x14ac:dyDescent="0.2">
      <c r="A621" s="102">
        <v>31767</v>
      </c>
      <c r="B621" s="103" t="s">
        <v>32</v>
      </c>
      <c r="C621" s="103" t="s">
        <v>92</v>
      </c>
      <c r="D621" s="103" t="s">
        <v>1387</v>
      </c>
      <c r="E621" s="103" t="s">
        <v>1388</v>
      </c>
      <c r="F621" s="103">
        <v>34.255277999999997</v>
      </c>
      <c r="G621" s="103">
        <v>45.215225094899999</v>
      </c>
      <c r="H621" s="102">
        <v>75</v>
      </c>
      <c r="I621" s="102">
        <v>450</v>
      </c>
      <c r="J621" s="103"/>
      <c r="K621" s="103"/>
      <c r="L621" s="103"/>
      <c r="M621" s="103">
        <v>70</v>
      </c>
      <c r="N621" s="103">
        <v>5</v>
      </c>
      <c r="O621" s="103"/>
      <c r="P621" s="103"/>
      <c r="Q621" s="103"/>
      <c r="R621" s="103"/>
      <c r="S621" s="103"/>
      <c r="T621" s="103"/>
      <c r="U621" s="103"/>
      <c r="V621" s="103"/>
      <c r="W621" s="103"/>
      <c r="X621" s="103"/>
      <c r="Y621" s="103"/>
      <c r="Z621" s="103">
        <v>71</v>
      </c>
      <c r="AA621" s="103"/>
      <c r="AB621" s="103"/>
      <c r="AC621" s="103"/>
      <c r="AD621" s="103"/>
      <c r="AE621" s="103"/>
      <c r="AF621" s="103"/>
      <c r="AG621" s="103"/>
      <c r="AH621" s="103"/>
      <c r="AI621" s="103"/>
      <c r="AJ621" s="103">
        <v>4</v>
      </c>
      <c r="AK621" s="103"/>
      <c r="AL621" s="103"/>
      <c r="AM621" s="103"/>
      <c r="AN621" s="103">
        <v>25</v>
      </c>
      <c r="AO621" s="103">
        <v>50</v>
      </c>
      <c r="AP621" s="103"/>
      <c r="AQ621" s="103"/>
      <c r="AR621" s="103"/>
      <c r="AS621" s="103"/>
      <c r="AT621" s="103"/>
      <c r="AU621" s="103"/>
      <c r="AV621" s="103"/>
      <c r="AW621" s="104" t="str">
        <f>HYPERLINK("http://www.openstreetmap.org/?mlat=34.2553&amp;mlon=45.2152&amp;zoom=12#map=12/34.2553/45.2152","Maplink1")</f>
        <v>Maplink1</v>
      </c>
      <c r="AX621" s="104" t="str">
        <f>HYPERLINK("https://www.google.iq/maps/search/+34.2553,45.2152/@34.2553,45.2152,14z?hl=en","Maplink2")</f>
        <v>Maplink2</v>
      </c>
      <c r="AY621" s="104" t="str">
        <f>HYPERLINK("http://www.bing.com/maps/?lvl=14&amp;sty=h&amp;cp=34.2553~45.2152&amp;sp=point.34.2553_45.2152","Maplink3")</f>
        <v>Maplink3</v>
      </c>
    </row>
    <row r="622" spans="1:51" x14ac:dyDescent="0.2">
      <c r="A622" s="102">
        <v>31758</v>
      </c>
      <c r="B622" s="103" t="s">
        <v>32</v>
      </c>
      <c r="C622" s="103" t="s">
        <v>92</v>
      </c>
      <c r="D622" s="103" t="s">
        <v>1311</v>
      </c>
      <c r="E622" s="103" t="s">
        <v>1312</v>
      </c>
      <c r="F622" s="103">
        <v>34.278610999999998</v>
      </c>
      <c r="G622" s="103">
        <v>45.175426289900003</v>
      </c>
      <c r="H622" s="102">
        <v>320</v>
      </c>
      <c r="I622" s="102">
        <v>1920</v>
      </c>
      <c r="J622" s="103"/>
      <c r="K622" s="103"/>
      <c r="L622" s="103">
        <v>10</v>
      </c>
      <c r="M622" s="103">
        <v>290</v>
      </c>
      <c r="N622" s="103">
        <v>20</v>
      </c>
      <c r="O622" s="103"/>
      <c r="P622" s="103"/>
      <c r="Q622" s="103"/>
      <c r="R622" s="103"/>
      <c r="S622" s="103"/>
      <c r="T622" s="103"/>
      <c r="U622" s="103"/>
      <c r="V622" s="103"/>
      <c r="W622" s="103"/>
      <c r="X622" s="103"/>
      <c r="Y622" s="103"/>
      <c r="Z622" s="103">
        <v>268</v>
      </c>
      <c r="AA622" s="103"/>
      <c r="AB622" s="103"/>
      <c r="AC622" s="103"/>
      <c r="AD622" s="103"/>
      <c r="AE622" s="103"/>
      <c r="AF622" s="103"/>
      <c r="AG622" s="103"/>
      <c r="AH622" s="103"/>
      <c r="AI622" s="103"/>
      <c r="AJ622" s="103">
        <v>52</v>
      </c>
      <c r="AK622" s="103"/>
      <c r="AL622" s="103"/>
      <c r="AM622" s="103"/>
      <c r="AN622" s="103">
        <v>150</v>
      </c>
      <c r="AO622" s="103">
        <v>170</v>
      </c>
      <c r="AP622" s="103"/>
      <c r="AQ622" s="103"/>
      <c r="AR622" s="103"/>
      <c r="AS622" s="103"/>
      <c r="AT622" s="103"/>
      <c r="AU622" s="103"/>
      <c r="AV622" s="103"/>
      <c r="AW622" s="104" t="str">
        <f>HYPERLINK("http://www.openstreetmap.org/?mlat=34.2786&amp;mlon=45.1754&amp;zoom=12#map=12/34.2786/45.1754","Maplink1")</f>
        <v>Maplink1</v>
      </c>
      <c r="AX622" s="104" t="str">
        <f>HYPERLINK("https://www.google.iq/maps/search/+34.2786,45.1754/@34.2786,45.1754,14z?hl=en","Maplink2")</f>
        <v>Maplink2</v>
      </c>
      <c r="AY622" s="104" t="str">
        <f>HYPERLINK("http://www.bing.com/maps/?lvl=14&amp;sty=h&amp;cp=34.2786~45.1754&amp;sp=point.34.2786_45.1754","Maplink3")</f>
        <v>Maplink3</v>
      </c>
    </row>
    <row r="623" spans="1:51" x14ac:dyDescent="0.2">
      <c r="A623" s="102">
        <v>32021</v>
      </c>
      <c r="B623" s="103" t="s">
        <v>32</v>
      </c>
      <c r="C623" s="103" t="s">
        <v>92</v>
      </c>
      <c r="D623" s="103" t="s">
        <v>1313</v>
      </c>
      <c r="E623" s="103" t="s">
        <v>1314</v>
      </c>
      <c r="F623" s="103">
        <v>34.170099</v>
      </c>
      <c r="G623" s="103">
        <v>45.132411157</v>
      </c>
      <c r="H623" s="102">
        <v>325</v>
      </c>
      <c r="I623" s="102">
        <v>1950</v>
      </c>
      <c r="J623" s="103"/>
      <c r="K623" s="103"/>
      <c r="L623" s="103"/>
      <c r="M623" s="103">
        <v>285</v>
      </c>
      <c r="N623" s="103">
        <v>40</v>
      </c>
      <c r="O623" s="103"/>
      <c r="P623" s="103"/>
      <c r="Q623" s="103"/>
      <c r="R623" s="103"/>
      <c r="S623" s="103"/>
      <c r="T623" s="103"/>
      <c r="U623" s="103"/>
      <c r="V623" s="103"/>
      <c r="W623" s="103"/>
      <c r="X623" s="103"/>
      <c r="Y623" s="103"/>
      <c r="Z623" s="103">
        <v>325</v>
      </c>
      <c r="AA623" s="103"/>
      <c r="AB623" s="103"/>
      <c r="AC623" s="103"/>
      <c r="AD623" s="103"/>
      <c r="AE623" s="103"/>
      <c r="AF623" s="103"/>
      <c r="AG623" s="103"/>
      <c r="AH623" s="103"/>
      <c r="AI623" s="103"/>
      <c r="AJ623" s="103"/>
      <c r="AK623" s="103"/>
      <c r="AL623" s="103"/>
      <c r="AM623" s="103"/>
      <c r="AN623" s="103">
        <v>325</v>
      </c>
      <c r="AO623" s="103"/>
      <c r="AP623" s="103"/>
      <c r="AQ623" s="103"/>
      <c r="AR623" s="103"/>
      <c r="AS623" s="103"/>
      <c r="AT623" s="103"/>
      <c r="AU623" s="103"/>
      <c r="AV623" s="103"/>
      <c r="AW623" s="104" t="str">
        <f>HYPERLINK("http://www.openstreetmap.org/?mlat=34.1701&amp;mlon=45.1324&amp;zoom=12#map=12/34.1701/45.1324","Maplink1")</f>
        <v>Maplink1</v>
      </c>
      <c r="AX623" s="104" t="str">
        <f>HYPERLINK("https://www.google.iq/maps/search/+34.1701,45.1324/@34.1701,45.1324,14z?hl=en","Maplink2")</f>
        <v>Maplink2</v>
      </c>
      <c r="AY623" s="104" t="str">
        <f>HYPERLINK("http://www.bing.com/maps/?lvl=14&amp;sty=h&amp;cp=34.1701~45.1324&amp;sp=point.34.1701_45.1324","Maplink3")</f>
        <v>Maplink3</v>
      </c>
    </row>
    <row r="624" spans="1:51" x14ac:dyDescent="0.2">
      <c r="A624" s="102">
        <v>33363</v>
      </c>
      <c r="B624" s="103" t="s">
        <v>32</v>
      </c>
      <c r="C624" s="103" t="s">
        <v>92</v>
      </c>
      <c r="D624" s="103" t="s">
        <v>1315</v>
      </c>
      <c r="E624" s="103" t="s">
        <v>1316</v>
      </c>
      <c r="F624" s="103">
        <v>34.284703999999998</v>
      </c>
      <c r="G624" s="103">
        <v>45.029806552300002</v>
      </c>
      <c r="H624" s="102">
        <v>15</v>
      </c>
      <c r="I624" s="102">
        <v>90</v>
      </c>
      <c r="J624" s="103"/>
      <c r="K624" s="103"/>
      <c r="L624" s="103">
        <v>10</v>
      </c>
      <c r="M624" s="103">
        <v>5</v>
      </c>
      <c r="N624" s="103"/>
      <c r="O624" s="103"/>
      <c r="P624" s="103"/>
      <c r="Q624" s="103"/>
      <c r="R624" s="103"/>
      <c r="S624" s="103"/>
      <c r="T624" s="103"/>
      <c r="U624" s="103"/>
      <c r="V624" s="103"/>
      <c r="W624" s="103"/>
      <c r="X624" s="103"/>
      <c r="Y624" s="103"/>
      <c r="Z624" s="103">
        <v>15</v>
      </c>
      <c r="AA624" s="103"/>
      <c r="AB624" s="103"/>
      <c r="AC624" s="103"/>
      <c r="AD624" s="103"/>
      <c r="AE624" s="103"/>
      <c r="AF624" s="103"/>
      <c r="AG624" s="103"/>
      <c r="AH624" s="103"/>
      <c r="AI624" s="103"/>
      <c r="AJ624" s="103"/>
      <c r="AK624" s="103"/>
      <c r="AL624" s="103"/>
      <c r="AM624" s="103"/>
      <c r="AN624" s="103">
        <v>15</v>
      </c>
      <c r="AO624" s="103"/>
      <c r="AP624" s="103"/>
      <c r="AQ624" s="103"/>
      <c r="AR624" s="103"/>
      <c r="AS624" s="103"/>
      <c r="AT624" s="103"/>
      <c r="AU624" s="103"/>
      <c r="AV624" s="103"/>
      <c r="AW624" s="104" t="str">
        <f>HYPERLINK("http://www.openstreetmap.org/?mlat=34.2847&amp;mlon=45.0298&amp;zoom=12#map=12/34.2847/45.0298","Maplink1")</f>
        <v>Maplink1</v>
      </c>
      <c r="AX624" s="104" t="str">
        <f>HYPERLINK("https://www.google.iq/maps/search/+34.2847,45.0298/@34.2847,45.0298,14z?hl=en","Maplink2")</f>
        <v>Maplink2</v>
      </c>
      <c r="AY624" s="104" t="str">
        <f>HYPERLINK("http://www.bing.com/maps/?lvl=14&amp;sty=h&amp;cp=34.2847~45.0298&amp;sp=point.34.2847_45.0298","Maplink3")</f>
        <v>Maplink3</v>
      </c>
    </row>
    <row r="625" spans="1:51" x14ac:dyDescent="0.2">
      <c r="A625" s="102">
        <v>11343</v>
      </c>
      <c r="B625" s="103" t="s">
        <v>32</v>
      </c>
      <c r="C625" s="103" t="s">
        <v>92</v>
      </c>
      <c r="D625" s="103" t="s">
        <v>1317</v>
      </c>
      <c r="E625" s="103" t="s">
        <v>1318</v>
      </c>
      <c r="F625" s="103">
        <v>34.255581999999997</v>
      </c>
      <c r="G625" s="103">
        <v>45.152573300599997</v>
      </c>
      <c r="H625" s="102">
        <v>400</v>
      </c>
      <c r="I625" s="102">
        <v>2400</v>
      </c>
      <c r="J625" s="103"/>
      <c r="K625" s="103"/>
      <c r="L625" s="103"/>
      <c r="M625" s="103">
        <v>320</v>
      </c>
      <c r="N625" s="103">
        <v>80</v>
      </c>
      <c r="O625" s="103"/>
      <c r="P625" s="103"/>
      <c r="Q625" s="103"/>
      <c r="R625" s="103"/>
      <c r="S625" s="103"/>
      <c r="T625" s="103"/>
      <c r="U625" s="103"/>
      <c r="V625" s="103"/>
      <c r="W625" s="103">
        <v>10</v>
      </c>
      <c r="X625" s="103"/>
      <c r="Y625" s="103"/>
      <c r="Z625" s="103">
        <v>360</v>
      </c>
      <c r="AA625" s="103"/>
      <c r="AB625" s="103"/>
      <c r="AC625" s="103"/>
      <c r="AD625" s="103"/>
      <c r="AE625" s="103"/>
      <c r="AF625" s="103"/>
      <c r="AG625" s="103"/>
      <c r="AH625" s="103"/>
      <c r="AI625" s="103"/>
      <c r="AJ625" s="103">
        <v>30</v>
      </c>
      <c r="AK625" s="103"/>
      <c r="AL625" s="103"/>
      <c r="AM625" s="103"/>
      <c r="AN625" s="103">
        <v>100</v>
      </c>
      <c r="AO625" s="103">
        <v>300</v>
      </c>
      <c r="AP625" s="103"/>
      <c r="AQ625" s="103"/>
      <c r="AR625" s="103"/>
      <c r="AS625" s="103"/>
      <c r="AT625" s="103"/>
      <c r="AU625" s="103"/>
      <c r="AV625" s="103"/>
      <c r="AW625" s="104" t="str">
        <f>HYPERLINK("http://www.openstreetmap.org/?mlat=34.2556&amp;mlon=45.1526&amp;zoom=12#map=12/34.2556/45.1526","Maplink1")</f>
        <v>Maplink1</v>
      </c>
      <c r="AX625" s="104" t="str">
        <f>HYPERLINK("https://www.google.iq/maps/search/+34.2556,45.1526/@34.2556,45.1526,14z?hl=en","Maplink2")</f>
        <v>Maplink2</v>
      </c>
      <c r="AY625" s="104" t="str">
        <f>HYPERLINK("http://www.bing.com/maps/?lvl=14&amp;sty=h&amp;cp=34.2556~45.1526&amp;sp=point.34.2556_45.1526","Maplink3")</f>
        <v>Maplink3</v>
      </c>
    </row>
    <row r="626" spans="1:51" x14ac:dyDescent="0.2">
      <c r="A626" s="102">
        <v>33839</v>
      </c>
      <c r="B626" s="103" t="s">
        <v>32</v>
      </c>
      <c r="C626" s="103" t="s">
        <v>92</v>
      </c>
      <c r="D626" s="103" t="s">
        <v>1319</v>
      </c>
      <c r="E626" s="103" t="s">
        <v>1320</v>
      </c>
      <c r="F626" s="103">
        <v>34.242785689999998</v>
      </c>
      <c r="G626" s="103">
        <v>45.069416650000001</v>
      </c>
      <c r="H626" s="102">
        <v>10</v>
      </c>
      <c r="I626" s="102">
        <v>60</v>
      </c>
      <c r="J626" s="103"/>
      <c r="K626" s="103"/>
      <c r="L626" s="103"/>
      <c r="M626" s="103">
        <v>10</v>
      </c>
      <c r="N626" s="103"/>
      <c r="O626" s="103"/>
      <c r="P626" s="103"/>
      <c r="Q626" s="103"/>
      <c r="R626" s="103"/>
      <c r="S626" s="103"/>
      <c r="T626" s="103"/>
      <c r="U626" s="103"/>
      <c r="V626" s="103"/>
      <c r="W626" s="103"/>
      <c r="X626" s="103"/>
      <c r="Y626" s="103"/>
      <c r="Z626" s="103">
        <v>10</v>
      </c>
      <c r="AA626" s="103"/>
      <c r="AB626" s="103"/>
      <c r="AC626" s="103"/>
      <c r="AD626" s="103"/>
      <c r="AE626" s="103"/>
      <c r="AF626" s="103"/>
      <c r="AG626" s="103"/>
      <c r="AH626" s="103"/>
      <c r="AI626" s="103"/>
      <c r="AJ626" s="103"/>
      <c r="AK626" s="103"/>
      <c r="AL626" s="103"/>
      <c r="AM626" s="103"/>
      <c r="AN626" s="103"/>
      <c r="AO626" s="103">
        <v>10</v>
      </c>
      <c r="AP626" s="103"/>
      <c r="AQ626" s="103"/>
      <c r="AR626" s="103"/>
      <c r="AS626" s="103"/>
      <c r="AT626" s="103"/>
      <c r="AU626" s="103"/>
      <c r="AV626" s="103"/>
      <c r="AW626" s="104" t="str">
        <f>HYPERLINK("http://www.openstreetmap.org/?mlat=34.2428&amp;mlon=45.0694&amp;zoom=12#map=12/34.2428/45.0694","Maplink1")</f>
        <v>Maplink1</v>
      </c>
      <c r="AX626" s="104" t="str">
        <f>HYPERLINK("https://www.google.iq/maps/search/+34.2428,45.0694/@34.2428,45.0694,14z?hl=en","Maplink2")</f>
        <v>Maplink2</v>
      </c>
      <c r="AY626" s="104" t="str">
        <f>HYPERLINK("http://www.bing.com/maps/?lvl=14&amp;sty=h&amp;cp=34.2428~45.0694&amp;sp=point.34.2428_45.0694","Maplink3")</f>
        <v>Maplink3</v>
      </c>
    </row>
    <row r="627" spans="1:51" x14ac:dyDescent="0.2">
      <c r="A627" s="102">
        <v>31761</v>
      </c>
      <c r="B627" s="103" t="s">
        <v>32</v>
      </c>
      <c r="C627" s="103" t="s">
        <v>92</v>
      </c>
      <c r="D627" s="103" t="s">
        <v>1282</v>
      </c>
      <c r="E627" s="103" t="s">
        <v>1283</v>
      </c>
      <c r="F627" s="103">
        <v>34.274999999999999</v>
      </c>
      <c r="G627" s="103">
        <v>45.170778369899999</v>
      </c>
      <c r="H627" s="102">
        <v>425</v>
      </c>
      <c r="I627" s="102">
        <v>2550</v>
      </c>
      <c r="J627" s="103"/>
      <c r="K627" s="103"/>
      <c r="L627" s="103"/>
      <c r="M627" s="103">
        <v>400</v>
      </c>
      <c r="N627" s="103">
        <v>25</v>
      </c>
      <c r="O627" s="103"/>
      <c r="P627" s="103"/>
      <c r="Q627" s="103"/>
      <c r="R627" s="103"/>
      <c r="S627" s="103"/>
      <c r="T627" s="103"/>
      <c r="U627" s="103"/>
      <c r="V627" s="103"/>
      <c r="W627" s="103"/>
      <c r="X627" s="103"/>
      <c r="Y627" s="103"/>
      <c r="Z627" s="103">
        <v>375</v>
      </c>
      <c r="AA627" s="103"/>
      <c r="AB627" s="103"/>
      <c r="AC627" s="103"/>
      <c r="AD627" s="103"/>
      <c r="AE627" s="103"/>
      <c r="AF627" s="103"/>
      <c r="AG627" s="103"/>
      <c r="AH627" s="103"/>
      <c r="AI627" s="103"/>
      <c r="AJ627" s="103">
        <v>50</v>
      </c>
      <c r="AK627" s="103"/>
      <c r="AL627" s="103"/>
      <c r="AM627" s="103"/>
      <c r="AN627" s="103">
        <v>175</v>
      </c>
      <c r="AO627" s="103">
        <v>250</v>
      </c>
      <c r="AP627" s="103"/>
      <c r="AQ627" s="103"/>
      <c r="AR627" s="103"/>
      <c r="AS627" s="103"/>
      <c r="AT627" s="103"/>
      <c r="AU627" s="103"/>
      <c r="AV627" s="103"/>
      <c r="AW627" s="104" t="str">
        <f>HYPERLINK("http://www.openstreetmap.org/?mlat=34.275&amp;mlon=45.1708&amp;zoom=12#map=12/34.275/45.1708","Maplink1")</f>
        <v>Maplink1</v>
      </c>
      <c r="AX627" s="104" t="str">
        <f>HYPERLINK("https://www.google.iq/maps/search/+34.275,45.1708/@34.275,45.1708,14z?hl=en","Maplink2")</f>
        <v>Maplink2</v>
      </c>
      <c r="AY627" s="104" t="str">
        <f>HYPERLINK("http://www.bing.com/maps/?lvl=14&amp;sty=h&amp;cp=34.275~45.1708&amp;sp=point.34.275_45.1708","Maplink3")</f>
        <v>Maplink3</v>
      </c>
    </row>
    <row r="628" spans="1:51" x14ac:dyDescent="0.2">
      <c r="A628" s="102">
        <v>33441</v>
      </c>
      <c r="B628" s="103" t="s">
        <v>32</v>
      </c>
      <c r="C628" s="103" t="s">
        <v>92</v>
      </c>
      <c r="D628" s="103" t="s">
        <v>1284</v>
      </c>
      <c r="E628" s="103" t="s">
        <v>1285</v>
      </c>
      <c r="F628" s="103">
        <v>34.256844999999998</v>
      </c>
      <c r="G628" s="103">
        <v>45.064796840299998</v>
      </c>
      <c r="H628" s="102">
        <v>15</v>
      </c>
      <c r="I628" s="102">
        <v>90</v>
      </c>
      <c r="J628" s="103"/>
      <c r="K628" s="103"/>
      <c r="L628" s="103"/>
      <c r="M628" s="103">
        <v>15</v>
      </c>
      <c r="N628" s="103"/>
      <c r="O628" s="103"/>
      <c r="P628" s="103"/>
      <c r="Q628" s="103"/>
      <c r="R628" s="103"/>
      <c r="S628" s="103"/>
      <c r="T628" s="103"/>
      <c r="U628" s="103"/>
      <c r="V628" s="103"/>
      <c r="W628" s="103"/>
      <c r="X628" s="103"/>
      <c r="Y628" s="103"/>
      <c r="Z628" s="103">
        <v>15</v>
      </c>
      <c r="AA628" s="103"/>
      <c r="AB628" s="103"/>
      <c r="AC628" s="103"/>
      <c r="AD628" s="103"/>
      <c r="AE628" s="103"/>
      <c r="AF628" s="103"/>
      <c r="AG628" s="103"/>
      <c r="AH628" s="103"/>
      <c r="AI628" s="103"/>
      <c r="AJ628" s="103"/>
      <c r="AK628" s="103"/>
      <c r="AL628" s="103"/>
      <c r="AM628" s="103"/>
      <c r="AN628" s="103"/>
      <c r="AO628" s="103">
        <v>15</v>
      </c>
      <c r="AP628" s="103"/>
      <c r="AQ628" s="103"/>
      <c r="AR628" s="103"/>
      <c r="AS628" s="103"/>
      <c r="AT628" s="103"/>
      <c r="AU628" s="103"/>
      <c r="AV628" s="103"/>
      <c r="AW628" s="104" t="str">
        <f>HYPERLINK("http://www.openstreetmap.org/?mlat=34.2568&amp;mlon=45.0648&amp;zoom=12#map=12/34.2568/45.0648","Maplink1")</f>
        <v>Maplink1</v>
      </c>
      <c r="AX628" s="104" t="str">
        <f>HYPERLINK("https://www.google.iq/maps/search/+34.2568,45.0648/@34.2568,45.0648,14z?hl=en","Maplink2")</f>
        <v>Maplink2</v>
      </c>
      <c r="AY628" s="104" t="str">
        <f>HYPERLINK("http://www.bing.com/maps/?lvl=14&amp;sty=h&amp;cp=34.2568~45.0648&amp;sp=point.34.2568_45.0648","Maplink3")</f>
        <v>Maplink3</v>
      </c>
    </row>
    <row r="629" spans="1:51" x14ac:dyDescent="0.2">
      <c r="A629" s="102">
        <v>31765</v>
      </c>
      <c r="B629" s="103" t="s">
        <v>32</v>
      </c>
      <c r="C629" s="103" t="s">
        <v>92</v>
      </c>
      <c r="D629" s="103" t="s">
        <v>1286</v>
      </c>
      <c r="E629" s="103" t="s">
        <v>1287</v>
      </c>
      <c r="F629" s="103">
        <v>34.264443999999997</v>
      </c>
      <c r="G629" s="103">
        <v>45.161670631500002</v>
      </c>
      <c r="H629" s="102">
        <v>325</v>
      </c>
      <c r="I629" s="102">
        <v>1950</v>
      </c>
      <c r="J629" s="103"/>
      <c r="K629" s="103"/>
      <c r="L629" s="103">
        <v>15</v>
      </c>
      <c r="M629" s="103">
        <v>285</v>
      </c>
      <c r="N629" s="103">
        <v>25</v>
      </c>
      <c r="O629" s="103"/>
      <c r="P629" s="103"/>
      <c r="Q629" s="103"/>
      <c r="R629" s="103"/>
      <c r="S629" s="103"/>
      <c r="T629" s="103"/>
      <c r="U629" s="103"/>
      <c r="V629" s="103"/>
      <c r="W629" s="103">
        <v>11</v>
      </c>
      <c r="X629" s="103"/>
      <c r="Y629" s="103"/>
      <c r="Z629" s="103">
        <v>222</v>
      </c>
      <c r="AA629" s="103"/>
      <c r="AB629" s="103"/>
      <c r="AC629" s="103">
        <v>12</v>
      </c>
      <c r="AD629" s="103"/>
      <c r="AE629" s="103"/>
      <c r="AF629" s="103"/>
      <c r="AG629" s="103"/>
      <c r="AH629" s="103"/>
      <c r="AI629" s="103"/>
      <c r="AJ629" s="103">
        <v>80</v>
      </c>
      <c r="AK629" s="103"/>
      <c r="AL629" s="103"/>
      <c r="AM629" s="103"/>
      <c r="AN629" s="103">
        <v>120</v>
      </c>
      <c r="AO629" s="103">
        <v>205</v>
      </c>
      <c r="AP629" s="103"/>
      <c r="AQ629" s="103"/>
      <c r="AR629" s="103"/>
      <c r="AS629" s="103"/>
      <c r="AT629" s="103"/>
      <c r="AU629" s="103"/>
      <c r="AV629" s="103"/>
      <c r="AW629" s="104" t="str">
        <f>HYPERLINK("http://www.openstreetmap.org/?mlat=34.2644&amp;mlon=45.1617&amp;zoom=12#map=12/34.2644/45.1617","Maplink1")</f>
        <v>Maplink1</v>
      </c>
      <c r="AX629" s="104" t="str">
        <f>HYPERLINK("https://www.google.iq/maps/search/+34.2644,45.1617/@34.2644,45.1617,14z?hl=en","Maplink2")</f>
        <v>Maplink2</v>
      </c>
      <c r="AY629" s="104" t="str">
        <f>HYPERLINK("http://www.bing.com/maps/?lvl=14&amp;sty=h&amp;cp=34.2644~45.1617&amp;sp=point.34.2644_45.1617","Maplink3")</f>
        <v>Maplink3</v>
      </c>
    </row>
    <row r="630" spans="1:51" x14ac:dyDescent="0.2">
      <c r="A630" s="102">
        <v>29506</v>
      </c>
      <c r="B630" s="103" t="s">
        <v>32</v>
      </c>
      <c r="C630" s="103" t="s">
        <v>92</v>
      </c>
      <c r="D630" s="103" t="s">
        <v>1372</v>
      </c>
      <c r="E630" s="103" t="s">
        <v>1373</v>
      </c>
      <c r="F630" s="103">
        <v>34.197619000000003</v>
      </c>
      <c r="G630" s="103">
        <v>45.126208687099997</v>
      </c>
      <c r="H630" s="102">
        <v>256</v>
      </c>
      <c r="I630" s="102">
        <v>1536</v>
      </c>
      <c r="J630" s="103"/>
      <c r="K630" s="103"/>
      <c r="L630" s="103">
        <v>25</v>
      </c>
      <c r="M630" s="103">
        <v>200</v>
      </c>
      <c r="N630" s="103">
        <v>31</v>
      </c>
      <c r="O630" s="103"/>
      <c r="P630" s="103"/>
      <c r="Q630" s="103"/>
      <c r="R630" s="103"/>
      <c r="S630" s="103"/>
      <c r="T630" s="103"/>
      <c r="U630" s="103"/>
      <c r="V630" s="103"/>
      <c r="W630" s="103"/>
      <c r="X630" s="103"/>
      <c r="Y630" s="103"/>
      <c r="Z630" s="103">
        <v>241</v>
      </c>
      <c r="AA630" s="103"/>
      <c r="AB630" s="103"/>
      <c r="AC630" s="103">
        <v>10</v>
      </c>
      <c r="AD630" s="103"/>
      <c r="AE630" s="103"/>
      <c r="AF630" s="103"/>
      <c r="AG630" s="103"/>
      <c r="AH630" s="103"/>
      <c r="AI630" s="103"/>
      <c r="AJ630" s="103">
        <v>5</v>
      </c>
      <c r="AK630" s="103"/>
      <c r="AL630" s="103"/>
      <c r="AM630" s="103"/>
      <c r="AN630" s="103">
        <v>256</v>
      </c>
      <c r="AO630" s="103"/>
      <c r="AP630" s="103"/>
      <c r="AQ630" s="103"/>
      <c r="AR630" s="103"/>
      <c r="AS630" s="103"/>
      <c r="AT630" s="103"/>
      <c r="AU630" s="103"/>
      <c r="AV630" s="103"/>
      <c r="AW630" s="104" t="str">
        <f>HYPERLINK("http://www.openstreetmap.org/?mlat=34.1976&amp;mlon=45.1262&amp;zoom=12#map=12/34.1976/45.1262","Maplink1")</f>
        <v>Maplink1</v>
      </c>
      <c r="AX630" s="104" t="str">
        <f>HYPERLINK("https://www.google.iq/maps/search/+34.1976,45.1262/@34.1976,45.1262,14z?hl=en","Maplink2")</f>
        <v>Maplink2</v>
      </c>
      <c r="AY630" s="104" t="str">
        <f>HYPERLINK("http://www.bing.com/maps/?lvl=14&amp;sty=h&amp;cp=34.1976~45.1262&amp;sp=point.34.1976_45.1262","Maplink3")</f>
        <v>Maplink3</v>
      </c>
    </row>
    <row r="631" spans="1:51" x14ac:dyDescent="0.2">
      <c r="A631" s="102">
        <v>29675</v>
      </c>
      <c r="B631" s="103" t="s">
        <v>32</v>
      </c>
      <c r="C631" s="103" t="s">
        <v>92</v>
      </c>
      <c r="D631" s="103" t="s">
        <v>1374</v>
      </c>
      <c r="E631" s="103" t="s">
        <v>373</v>
      </c>
      <c r="F631" s="103">
        <v>34.267367815599997</v>
      </c>
      <c r="G631" s="103">
        <v>45.161266891799997</v>
      </c>
      <c r="H631" s="102">
        <v>325</v>
      </c>
      <c r="I631" s="102">
        <v>1950</v>
      </c>
      <c r="J631" s="103"/>
      <c r="K631" s="103"/>
      <c r="L631" s="103">
        <v>10</v>
      </c>
      <c r="M631" s="103">
        <v>285</v>
      </c>
      <c r="N631" s="103">
        <v>30</v>
      </c>
      <c r="O631" s="103"/>
      <c r="P631" s="103"/>
      <c r="Q631" s="103"/>
      <c r="R631" s="103"/>
      <c r="S631" s="103"/>
      <c r="T631" s="103"/>
      <c r="U631" s="103"/>
      <c r="V631" s="103"/>
      <c r="W631" s="103">
        <v>5</v>
      </c>
      <c r="X631" s="103"/>
      <c r="Y631" s="103"/>
      <c r="Z631" s="103">
        <v>275</v>
      </c>
      <c r="AA631" s="103"/>
      <c r="AB631" s="103"/>
      <c r="AC631" s="103">
        <v>15</v>
      </c>
      <c r="AD631" s="103"/>
      <c r="AE631" s="103"/>
      <c r="AF631" s="103"/>
      <c r="AG631" s="103"/>
      <c r="AH631" s="103"/>
      <c r="AI631" s="103"/>
      <c r="AJ631" s="103">
        <v>30</v>
      </c>
      <c r="AK631" s="103"/>
      <c r="AL631" s="103"/>
      <c r="AM631" s="103"/>
      <c r="AN631" s="103">
        <v>185</v>
      </c>
      <c r="AO631" s="103">
        <v>140</v>
      </c>
      <c r="AP631" s="103"/>
      <c r="AQ631" s="103"/>
      <c r="AR631" s="103"/>
      <c r="AS631" s="103"/>
      <c r="AT631" s="103"/>
      <c r="AU631" s="103"/>
      <c r="AV631" s="103"/>
      <c r="AW631" s="104" t="str">
        <f>HYPERLINK("http://www.openstreetmap.org/?mlat=34.2674&amp;mlon=45.1613&amp;zoom=12#map=12/34.2674/45.1613","Maplink1")</f>
        <v>Maplink1</v>
      </c>
      <c r="AX631" s="104" t="str">
        <f>HYPERLINK("https://www.google.iq/maps/search/+34.2674,45.1613/@34.2674,45.1613,14z?hl=en","Maplink2")</f>
        <v>Maplink2</v>
      </c>
      <c r="AY631" s="104" t="str">
        <f>HYPERLINK("http://www.bing.com/maps/?lvl=14&amp;sty=h&amp;cp=34.2674~45.1613&amp;sp=point.34.2674_45.1613","Maplink3")</f>
        <v>Maplink3</v>
      </c>
    </row>
    <row r="632" spans="1:51" x14ac:dyDescent="0.2">
      <c r="A632" s="102">
        <v>29570</v>
      </c>
      <c r="B632" s="103" t="s">
        <v>32</v>
      </c>
      <c r="C632" s="103" t="s">
        <v>92</v>
      </c>
      <c r="D632" s="103" t="s">
        <v>1288</v>
      </c>
      <c r="E632" s="103" t="s">
        <v>1289</v>
      </c>
      <c r="F632" s="103">
        <v>34.279488600000001</v>
      </c>
      <c r="G632" s="103">
        <v>45.169234502999998</v>
      </c>
      <c r="H632" s="102">
        <v>300</v>
      </c>
      <c r="I632" s="102">
        <v>1800</v>
      </c>
      <c r="J632" s="103"/>
      <c r="K632" s="103"/>
      <c r="L632" s="103">
        <v>10</v>
      </c>
      <c r="M632" s="103">
        <v>260</v>
      </c>
      <c r="N632" s="103">
        <v>30</v>
      </c>
      <c r="O632" s="103"/>
      <c r="P632" s="103"/>
      <c r="Q632" s="103"/>
      <c r="R632" s="103"/>
      <c r="S632" s="103"/>
      <c r="T632" s="103"/>
      <c r="U632" s="103"/>
      <c r="V632" s="103"/>
      <c r="W632" s="103">
        <v>7</v>
      </c>
      <c r="X632" s="103"/>
      <c r="Y632" s="103"/>
      <c r="Z632" s="103">
        <v>230</v>
      </c>
      <c r="AA632" s="103"/>
      <c r="AB632" s="103"/>
      <c r="AC632" s="103">
        <v>13</v>
      </c>
      <c r="AD632" s="103"/>
      <c r="AE632" s="103"/>
      <c r="AF632" s="103"/>
      <c r="AG632" s="103"/>
      <c r="AH632" s="103"/>
      <c r="AI632" s="103"/>
      <c r="AJ632" s="103">
        <v>50</v>
      </c>
      <c r="AK632" s="103"/>
      <c r="AL632" s="103"/>
      <c r="AM632" s="103"/>
      <c r="AN632" s="103">
        <v>75</v>
      </c>
      <c r="AO632" s="103">
        <v>225</v>
      </c>
      <c r="AP632" s="103"/>
      <c r="AQ632" s="103"/>
      <c r="AR632" s="103"/>
      <c r="AS632" s="103"/>
      <c r="AT632" s="103"/>
      <c r="AU632" s="103"/>
      <c r="AV632" s="103"/>
      <c r="AW632" s="104" t="str">
        <f>HYPERLINK("http://www.openstreetmap.org/?mlat=34.2795&amp;mlon=45.1692&amp;zoom=12#map=12/34.2795/45.1692","Maplink1")</f>
        <v>Maplink1</v>
      </c>
      <c r="AX632" s="104" t="str">
        <f>HYPERLINK("https://www.google.iq/maps/search/+34.2795,45.1692/@34.2795,45.1692,14z?hl=en","Maplink2")</f>
        <v>Maplink2</v>
      </c>
      <c r="AY632" s="104" t="str">
        <f>HYPERLINK("http://www.bing.com/maps/?lvl=14&amp;sty=h&amp;cp=34.2795~45.1692&amp;sp=point.34.2795_45.1692","Maplink3")</f>
        <v>Maplink3</v>
      </c>
    </row>
    <row r="633" spans="1:51" x14ac:dyDescent="0.2">
      <c r="A633" s="102">
        <v>31751</v>
      </c>
      <c r="B633" s="103" t="s">
        <v>32</v>
      </c>
      <c r="C633" s="103" t="s">
        <v>92</v>
      </c>
      <c r="D633" s="103" t="s">
        <v>1290</v>
      </c>
      <c r="E633" s="103" t="s">
        <v>1291</v>
      </c>
      <c r="F633" s="103">
        <v>34.278333000000003</v>
      </c>
      <c r="G633" s="103">
        <v>45.162075176899997</v>
      </c>
      <c r="H633" s="102">
        <v>442</v>
      </c>
      <c r="I633" s="102">
        <v>2652</v>
      </c>
      <c r="J633" s="103"/>
      <c r="K633" s="103"/>
      <c r="L633" s="103">
        <v>10</v>
      </c>
      <c r="M633" s="103">
        <v>412</v>
      </c>
      <c r="N633" s="103">
        <v>20</v>
      </c>
      <c r="O633" s="103"/>
      <c r="P633" s="103"/>
      <c r="Q633" s="103"/>
      <c r="R633" s="103"/>
      <c r="S633" s="103"/>
      <c r="T633" s="103"/>
      <c r="U633" s="103"/>
      <c r="V633" s="103"/>
      <c r="W633" s="103">
        <v>3</v>
      </c>
      <c r="X633" s="103"/>
      <c r="Y633" s="103"/>
      <c r="Z633" s="103">
        <v>379</v>
      </c>
      <c r="AA633" s="103"/>
      <c r="AB633" s="103"/>
      <c r="AC633" s="103"/>
      <c r="AD633" s="103"/>
      <c r="AE633" s="103"/>
      <c r="AF633" s="103"/>
      <c r="AG633" s="103"/>
      <c r="AH633" s="103"/>
      <c r="AI633" s="103"/>
      <c r="AJ633" s="103">
        <v>60</v>
      </c>
      <c r="AK633" s="103"/>
      <c r="AL633" s="103"/>
      <c r="AM633" s="103"/>
      <c r="AN633" s="103">
        <v>170</v>
      </c>
      <c r="AO633" s="103">
        <v>272</v>
      </c>
      <c r="AP633" s="103"/>
      <c r="AQ633" s="103"/>
      <c r="AR633" s="103"/>
      <c r="AS633" s="103"/>
      <c r="AT633" s="103"/>
      <c r="AU633" s="103"/>
      <c r="AV633" s="103"/>
      <c r="AW633" s="104" t="str">
        <f>HYPERLINK("http://www.openstreetmap.org/?mlat=34.2783&amp;mlon=45.1621&amp;zoom=12#map=12/34.2783/45.1621","Maplink1")</f>
        <v>Maplink1</v>
      </c>
      <c r="AX633" s="104" t="str">
        <f>HYPERLINK("https://www.google.iq/maps/search/+34.2783,45.1621/@34.2783,45.1621,14z?hl=en","Maplink2")</f>
        <v>Maplink2</v>
      </c>
      <c r="AY633" s="104" t="str">
        <f>HYPERLINK("http://www.bing.com/maps/?lvl=14&amp;sty=h&amp;cp=34.2783~45.1621&amp;sp=point.34.2783_45.1621","Maplink3")</f>
        <v>Maplink3</v>
      </c>
    </row>
    <row r="634" spans="1:51" x14ac:dyDescent="0.2">
      <c r="A634" s="102">
        <v>31754</v>
      </c>
      <c r="B634" s="103" t="s">
        <v>32</v>
      </c>
      <c r="C634" s="103" t="s">
        <v>92</v>
      </c>
      <c r="D634" s="103" t="s">
        <v>1292</v>
      </c>
      <c r="E634" s="103" t="s">
        <v>1293</v>
      </c>
      <c r="F634" s="103">
        <v>34.269722000000002</v>
      </c>
      <c r="G634" s="103">
        <v>45.165074860399997</v>
      </c>
      <c r="H634" s="102">
        <v>355</v>
      </c>
      <c r="I634" s="102">
        <v>2130</v>
      </c>
      <c r="J634" s="103"/>
      <c r="K634" s="103"/>
      <c r="L634" s="103"/>
      <c r="M634" s="103">
        <v>310</v>
      </c>
      <c r="N634" s="103">
        <v>45</v>
      </c>
      <c r="O634" s="103"/>
      <c r="P634" s="103"/>
      <c r="Q634" s="103"/>
      <c r="R634" s="103"/>
      <c r="S634" s="103"/>
      <c r="T634" s="103"/>
      <c r="U634" s="103"/>
      <c r="V634" s="103"/>
      <c r="W634" s="103"/>
      <c r="X634" s="103"/>
      <c r="Y634" s="103"/>
      <c r="Z634" s="103">
        <v>305</v>
      </c>
      <c r="AA634" s="103"/>
      <c r="AB634" s="103"/>
      <c r="AC634" s="103"/>
      <c r="AD634" s="103"/>
      <c r="AE634" s="103"/>
      <c r="AF634" s="103"/>
      <c r="AG634" s="103"/>
      <c r="AH634" s="103"/>
      <c r="AI634" s="103"/>
      <c r="AJ634" s="103">
        <v>50</v>
      </c>
      <c r="AK634" s="103"/>
      <c r="AL634" s="103"/>
      <c r="AM634" s="103"/>
      <c r="AN634" s="103">
        <v>150</v>
      </c>
      <c r="AO634" s="103">
        <v>205</v>
      </c>
      <c r="AP634" s="103"/>
      <c r="AQ634" s="103"/>
      <c r="AR634" s="103"/>
      <c r="AS634" s="103"/>
      <c r="AT634" s="103"/>
      <c r="AU634" s="103"/>
      <c r="AV634" s="103"/>
      <c r="AW634" s="104" t="str">
        <f>HYPERLINK("http://www.openstreetmap.org/?mlat=34.2697&amp;mlon=45.1651&amp;zoom=12#map=12/34.2697/45.1651","Maplink1")</f>
        <v>Maplink1</v>
      </c>
      <c r="AX634" s="104" t="str">
        <f>HYPERLINK("https://www.google.iq/maps/search/+34.2697,45.1651/@34.2697,45.1651,14z?hl=en","Maplink2")</f>
        <v>Maplink2</v>
      </c>
      <c r="AY634" s="104" t="str">
        <f>HYPERLINK("http://www.bing.com/maps/?lvl=14&amp;sty=h&amp;cp=34.2697~45.1651&amp;sp=point.34.2697_45.1651","Maplink3")</f>
        <v>Maplink3</v>
      </c>
    </row>
    <row r="635" spans="1:51" x14ac:dyDescent="0.2">
      <c r="A635" s="102">
        <v>27389</v>
      </c>
      <c r="B635" s="103" t="s">
        <v>32</v>
      </c>
      <c r="C635" s="103" t="s">
        <v>92</v>
      </c>
      <c r="D635" s="103" t="s">
        <v>1350</v>
      </c>
      <c r="E635" s="103" t="s">
        <v>1351</v>
      </c>
      <c r="F635" s="103">
        <v>34.276698879999998</v>
      </c>
      <c r="G635" s="103">
        <v>45.161109904699998</v>
      </c>
      <c r="H635" s="102">
        <v>305</v>
      </c>
      <c r="I635" s="102">
        <v>1830</v>
      </c>
      <c r="J635" s="103"/>
      <c r="K635" s="103"/>
      <c r="L635" s="103">
        <v>20</v>
      </c>
      <c r="M635" s="103">
        <v>265</v>
      </c>
      <c r="N635" s="103">
        <v>20</v>
      </c>
      <c r="O635" s="103"/>
      <c r="P635" s="103"/>
      <c r="Q635" s="103"/>
      <c r="R635" s="103"/>
      <c r="S635" s="103"/>
      <c r="T635" s="103"/>
      <c r="U635" s="103"/>
      <c r="V635" s="103"/>
      <c r="W635" s="103">
        <v>5</v>
      </c>
      <c r="X635" s="103"/>
      <c r="Y635" s="103"/>
      <c r="Z635" s="103">
        <v>138</v>
      </c>
      <c r="AA635" s="103"/>
      <c r="AB635" s="103"/>
      <c r="AC635" s="103">
        <v>22</v>
      </c>
      <c r="AD635" s="103"/>
      <c r="AE635" s="103"/>
      <c r="AF635" s="103"/>
      <c r="AG635" s="103"/>
      <c r="AH635" s="103"/>
      <c r="AI635" s="103"/>
      <c r="AJ635" s="103">
        <v>140</v>
      </c>
      <c r="AK635" s="103"/>
      <c r="AL635" s="103"/>
      <c r="AM635" s="103"/>
      <c r="AN635" s="103">
        <v>130</v>
      </c>
      <c r="AO635" s="103">
        <v>150</v>
      </c>
      <c r="AP635" s="103"/>
      <c r="AQ635" s="103"/>
      <c r="AR635" s="103"/>
      <c r="AS635" s="103"/>
      <c r="AT635" s="103">
        <v>25</v>
      </c>
      <c r="AU635" s="103"/>
      <c r="AV635" s="103"/>
      <c r="AW635" s="104" t="str">
        <f>HYPERLINK("http://www.openstreetmap.org/?mlat=34.2767&amp;mlon=45.1611&amp;zoom=12#map=12/34.2767/45.1611","Maplink1")</f>
        <v>Maplink1</v>
      </c>
      <c r="AX635" s="104" t="str">
        <f>HYPERLINK("https://www.google.iq/maps/search/+34.2767,45.1611/@34.2767,45.1611,14z?hl=en","Maplink2")</f>
        <v>Maplink2</v>
      </c>
      <c r="AY635" s="104" t="str">
        <f>HYPERLINK("http://www.bing.com/maps/?lvl=14&amp;sty=h&amp;cp=34.2767~45.1611&amp;sp=point.34.2767_45.1611","Maplink3")</f>
        <v>Maplink3</v>
      </c>
    </row>
    <row r="636" spans="1:51" x14ac:dyDescent="0.2">
      <c r="A636" s="102">
        <v>29569</v>
      </c>
      <c r="B636" s="103" t="s">
        <v>32</v>
      </c>
      <c r="C636" s="103" t="s">
        <v>92</v>
      </c>
      <c r="D636" s="103" t="s">
        <v>1352</v>
      </c>
      <c r="E636" s="103" t="s">
        <v>1353</v>
      </c>
      <c r="F636" s="103">
        <v>34.277075619999998</v>
      </c>
      <c r="G636" s="103">
        <v>45.168316671200003</v>
      </c>
      <c r="H636" s="102">
        <v>300</v>
      </c>
      <c r="I636" s="102">
        <v>1800</v>
      </c>
      <c r="J636" s="103"/>
      <c r="K636" s="103"/>
      <c r="L636" s="103"/>
      <c r="M636" s="103">
        <v>270</v>
      </c>
      <c r="N636" s="103">
        <v>30</v>
      </c>
      <c r="O636" s="103"/>
      <c r="P636" s="103"/>
      <c r="Q636" s="103"/>
      <c r="R636" s="103"/>
      <c r="S636" s="103"/>
      <c r="T636" s="103"/>
      <c r="U636" s="103"/>
      <c r="V636" s="103"/>
      <c r="W636" s="103"/>
      <c r="X636" s="103"/>
      <c r="Y636" s="103"/>
      <c r="Z636" s="103">
        <v>250</v>
      </c>
      <c r="AA636" s="103">
        <v>5</v>
      </c>
      <c r="AB636" s="103"/>
      <c r="AC636" s="103">
        <v>5</v>
      </c>
      <c r="AD636" s="103"/>
      <c r="AE636" s="103"/>
      <c r="AF636" s="103"/>
      <c r="AG636" s="103"/>
      <c r="AH636" s="103"/>
      <c r="AI636" s="103"/>
      <c r="AJ636" s="103">
        <v>40</v>
      </c>
      <c r="AK636" s="103"/>
      <c r="AL636" s="103"/>
      <c r="AM636" s="103"/>
      <c r="AN636" s="103">
        <v>130</v>
      </c>
      <c r="AO636" s="103">
        <v>170</v>
      </c>
      <c r="AP636" s="103"/>
      <c r="AQ636" s="103"/>
      <c r="AR636" s="103"/>
      <c r="AS636" s="103"/>
      <c r="AT636" s="103"/>
      <c r="AU636" s="103"/>
      <c r="AV636" s="103"/>
      <c r="AW636" s="104" t="str">
        <f>HYPERLINK("http://www.openstreetmap.org/?mlat=34.2771&amp;mlon=45.1683&amp;zoom=12#map=12/34.2771/45.1683","Maplink1")</f>
        <v>Maplink1</v>
      </c>
      <c r="AX636" s="104" t="str">
        <f>HYPERLINK("https://www.google.iq/maps/search/+34.2771,45.1683/@34.2771,45.1683,14z?hl=en","Maplink2")</f>
        <v>Maplink2</v>
      </c>
      <c r="AY636" s="104" t="str">
        <f>HYPERLINK("http://www.bing.com/maps/?lvl=14&amp;sty=h&amp;cp=34.2771~45.1683&amp;sp=point.34.2771_45.1683","Maplink3")</f>
        <v>Maplink3</v>
      </c>
    </row>
    <row r="637" spans="1:51" x14ac:dyDescent="0.2">
      <c r="A637" s="102">
        <v>33837</v>
      </c>
      <c r="B637" s="103" t="s">
        <v>32</v>
      </c>
      <c r="C637" s="103" t="s">
        <v>92</v>
      </c>
      <c r="D637" s="103" t="s">
        <v>1354</v>
      </c>
      <c r="E637" s="103" t="s">
        <v>1355</v>
      </c>
      <c r="F637" s="103">
        <v>34.240561720000002</v>
      </c>
      <c r="G637" s="103">
        <v>45.087108000000001</v>
      </c>
      <c r="H637" s="102">
        <v>5</v>
      </c>
      <c r="I637" s="102">
        <v>30</v>
      </c>
      <c r="J637" s="103"/>
      <c r="K637" s="103"/>
      <c r="L637" s="103"/>
      <c r="M637" s="103">
        <v>5</v>
      </c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103">
        <v>5</v>
      </c>
      <c r="AA637" s="103"/>
      <c r="AB637" s="103"/>
      <c r="AC637" s="103"/>
      <c r="AD637" s="103"/>
      <c r="AE637" s="103"/>
      <c r="AF637" s="103"/>
      <c r="AG637" s="103"/>
      <c r="AH637" s="103"/>
      <c r="AI637" s="103"/>
      <c r="AJ637" s="103"/>
      <c r="AK637" s="103"/>
      <c r="AL637" s="103"/>
      <c r="AM637" s="103"/>
      <c r="AN637" s="103"/>
      <c r="AO637" s="103">
        <v>5</v>
      </c>
      <c r="AP637" s="103"/>
      <c r="AQ637" s="103"/>
      <c r="AR637" s="103"/>
      <c r="AS637" s="103"/>
      <c r="AT637" s="103"/>
      <c r="AU637" s="103"/>
      <c r="AV637" s="103"/>
      <c r="AW637" s="104" t="str">
        <f>HYPERLINK("http://www.openstreetmap.org/?mlat=34.2406&amp;mlon=45.0871&amp;zoom=12#map=12/34.2406/45.0871","Maplink1")</f>
        <v>Maplink1</v>
      </c>
      <c r="AX637" s="104" t="str">
        <f>HYPERLINK("https://www.google.iq/maps/search/+34.2406,45.0871/@34.2406,45.0871,14z?hl=en","Maplink2")</f>
        <v>Maplink2</v>
      </c>
      <c r="AY637" s="104" t="str">
        <f>HYPERLINK("http://www.bing.com/maps/?lvl=14&amp;sty=h&amp;cp=34.2406~45.0871&amp;sp=point.34.2406_45.0871","Maplink3")</f>
        <v>Maplink3</v>
      </c>
    </row>
    <row r="638" spans="1:51" x14ac:dyDescent="0.2">
      <c r="A638" s="102">
        <v>29477</v>
      </c>
      <c r="B638" s="103" t="s">
        <v>32</v>
      </c>
      <c r="C638" s="103" t="s">
        <v>92</v>
      </c>
      <c r="D638" s="103" t="s">
        <v>1300</v>
      </c>
      <c r="E638" s="103" t="s">
        <v>1196</v>
      </c>
      <c r="F638" s="103">
        <v>34.271358909999996</v>
      </c>
      <c r="G638" s="103">
        <v>45.163874841099997</v>
      </c>
      <c r="H638" s="102">
        <v>400</v>
      </c>
      <c r="I638" s="102">
        <v>2400</v>
      </c>
      <c r="J638" s="103"/>
      <c r="K638" s="103"/>
      <c r="L638" s="103">
        <v>25</v>
      </c>
      <c r="M638" s="103">
        <v>355</v>
      </c>
      <c r="N638" s="103">
        <v>20</v>
      </c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103">
        <v>290</v>
      </c>
      <c r="AA638" s="103">
        <v>5</v>
      </c>
      <c r="AB638" s="103"/>
      <c r="AC638" s="103">
        <v>15</v>
      </c>
      <c r="AD638" s="103"/>
      <c r="AE638" s="103"/>
      <c r="AF638" s="103"/>
      <c r="AG638" s="103"/>
      <c r="AH638" s="103"/>
      <c r="AI638" s="103"/>
      <c r="AJ638" s="103">
        <v>90</v>
      </c>
      <c r="AK638" s="103"/>
      <c r="AL638" s="103"/>
      <c r="AM638" s="103"/>
      <c r="AN638" s="103">
        <v>150</v>
      </c>
      <c r="AO638" s="103">
        <v>225</v>
      </c>
      <c r="AP638" s="103"/>
      <c r="AQ638" s="103"/>
      <c r="AR638" s="103"/>
      <c r="AS638" s="103"/>
      <c r="AT638" s="103">
        <v>25</v>
      </c>
      <c r="AU638" s="103"/>
      <c r="AV638" s="103"/>
      <c r="AW638" s="104" t="str">
        <f>HYPERLINK("http://www.openstreetmap.org/?mlat=34.2714&amp;mlon=45.1639&amp;zoom=12#map=12/34.2714/45.1639","Maplink1")</f>
        <v>Maplink1</v>
      </c>
      <c r="AX638" s="104" t="str">
        <f>HYPERLINK("https://www.google.iq/maps/search/+34.2714,45.1639/@34.2714,45.1639,14z?hl=en","Maplink2")</f>
        <v>Maplink2</v>
      </c>
      <c r="AY638" s="104" t="str">
        <f>HYPERLINK("http://www.bing.com/maps/?lvl=14&amp;sty=h&amp;cp=34.2714~45.1639&amp;sp=point.34.2714_45.1639","Maplink3")</f>
        <v>Maplink3</v>
      </c>
    </row>
    <row r="639" spans="1:51" x14ac:dyDescent="0.2">
      <c r="A639" s="102">
        <v>29630</v>
      </c>
      <c r="B639" s="103" t="s">
        <v>32</v>
      </c>
      <c r="C639" s="103" t="s">
        <v>92</v>
      </c>
      <c r="D639" s="103" t="s">
        <v>1301</v>
      </c>
      <c r="E639" s="103" t="s">
        <v>1302</v>
      </c>
      <c r="F639" s="103">
        <v>34.224861591200003</v>
      </c>
      <c r="G639" s="103">
        <v>45.130969695499999</v>
      </c>
      <c r="H639" s="102">
        <v>340</v>
      </c>
      <c r="I639" s="102">
        <v>2040</v>
      </c>
      <c r="J639" s="103"/>
      <c r="K639" s="103"/>
      <c r="L639" s="103"/>
      <c r="M639" s="103">
        <v>312</v>
      </c>
      <c r="N639" s="103">
        <v>28</v>
      </c>
      <c r="O639" s="103"/>
      <c r="P639" s="103"/>
      <c r="Q639" s="103"/>
      <c r="R639" s="103"/>
      <c r="S639" s="103"/>
      <c r="T639" s="103"/>
      <c r="U639" s="103"/>
      <c r="V639" s="103"/>
      <c r="W639" s="103"/>
      <c r="X639" s="103"/>
      <c r="Y639" s="103"/>
      <c r="Z639" s="103">
        <v>310</v>
      </c>
      <c r="AA639" s="103"/>
      <c r="AB639" s="103"/>
      <c r="AC639" s="103"/>
      <c r="AD639" s="103"/>
      <c r="AE639" s="103"/>
      <c r="AF639" s="103"/>
      <c r="AG639" s="103"/>
      <c r="AH639" s="103"/>
      <c r="AI639" s="103"/>
      <c r="AJ639" s="103">
        <v>30</v>
      </c>
      <c r="AK639" s="103"/>
      <c r="AL639" s="103"/>
      <c r="AM639" s="103"/>
      <c r="AN639" s="103">
        <v>340</v>
      </c>
      <c r="AO639" s="103"/>
      <c r="AP639" s="103"/>
      <c r="AQ639" s="103"/>
      <c r="AR639" s="103"/>
      <c r="AS639" s="103"/>
      <c r="AT639" s="103"/>
      <c r="AU639" s="103"/>
      <c r="AV639" s="103"/>
      <c r="AW639" s="104" t="str">
        <f>HYPERLINK("http://www.openstreetmap.org/?mlat=34.2249&amp;mlon=45.131&amp;zoom=12#map=12/34.2249/45.131","Maplink1")</f>
        <v>Maplink1</v>
      </c>
      <c r="AX639" s="104" t="str">
        <f>HYPERLINK("https://www.google.iq/maps/search/+34.2249,45.131/@34.2249,45.131,14z?hl=en","Maplink2")</f>
        <v>Maplink2</v>
      </c>
      <c r="AY639" s="104" t="str">
        <f>HYPERLINK("http://www.bing.com/maps/?lvl=14&amp;sty=h&amp;cp=34.2249~45.131&amp;sp=point.34.2249_45.131","Maplink3")</f>
        <v>Maplink3</v>
      </c>
    </row>
    <row r="640" spans="1:51" x14ac:dyDescent="0.2">
      <c r="A640" s="102">
        <v>33362</v>
      </c>
      <c r="B640" s="103" t="s">
        <v>32</v>
      </c>
      <c r="C640" s="103" t="s">
        <v>92</v>
      </c>
      <c r="D640" s="103" t="s">
        <v>1303</v>
      </c>
      <c r="E640" s="103" t="s">
        <v>1204</v>
      </c>
      <c r="F640" s="103">
        <v>34.257777500000003</v>
      </c>
      <c r="G640" s="103">
        <v>45.060054542400003</v>
      </c>
      <c r="H640" s="102">
        <v>45</v>
      </c>
      <c r="I640" s="102">
        <v>270</v>
      </c>
      <c r="J640" s="103"/>
      <c r="K640" s="103"/>
      <c r="L640" s="103"/>
      <c r="M640" s="103">
        <v>35</v>
      </c>
      <c r="N640" s="103">
        <v>10</v>
      </c>
      <c r="O640" s="103"/>
      <c r="P640" s="103"/>
      <c r="Q640" s="103"/>
      <c r="R640" s="103"/>
      <c r="S640" s="103"/>
      <c r="T640" s="103"/>
      <c r="U640" s="103"/>
      <c r="V640" s="103"/>
      <c r="W640" s="103"/>
      <c r="X640" s="103"/>
      <c r="Y640" s="103"/>
      <c r="Z640" s="103">
        <v>45</v>
      </c>
      <c r="AA640" s="103"/>
      <c r="AB640" s="103"/>
      <c r="AC640" s="103"/>
      <c r="AD640" s="103"/>
      <c r="AE640" s="103"/>
      <c r="AF640" s="103"/>
      <c r="AG640" s="103"/>
      <c r="AH640" s="103"/>
      <c r="AI640" s="103"/>
      <c r="AJ640" s="103"/>
      <c r="AK640" s="103"/>
      <c r="AL640" s="103"/>
      <c r="AM640" s="103"/>
      <c r="AN640" s="103"/>
      <c r="AO640" s="103">
        <v>45</v>
      </c>
      <c r="AP640" s="103"/>
      <c r="AQ640" s="103"/>
      <c r="AR640" s="103"/>
      <c r="AS640" s="103"/>
      <c r="AT640" s="103"/>
      <c r="AU640" s="103"/>
      <c r="AV640" s="103"/>
      <c r="AW640" s="104" t="str">
        <f>HYPERLINK("http://www.openstreetmap.org/?mlat=34.2578&amp;mlon=45.0601&amp;zoom=12#map=12/34.2578/45.0601","Maplink1")</f>
        <v>Maplink1</v>
      </c>
      <c r="AX640" s="104" t="str">
        <f>HYPERLINK("https://www.google.iq/maps/search/+34.2578,45.0601/@34.2578,45.0601,14z?hl=en","Maplink2")</f>
        <v>Maplink2</v>
      </c>
      <c r="AY640" s="104" t="str">
        <f>HYPERLINK("http://www.bing.com/maps/?lvl=14&amp;sty=h&amp;cp=34.2578~45.0601&amp;sp=point.34.2578_45.0601","Maplink3")</f>
        <v>Maplink3</v>
      </c>
    </row>
    <row r="641" spans="1:51" x14ac:dyDescent="0.2">
      <c r="A641" s="102">
        <v>10869</v>
      </c>
      <c r="B641" s="103" t="s">
        <v>32</v>
      </c>
      <c r="C641" s="103" t="s">
        <v>92</v>
      </c>
      <c r="D641" s="103" t="s">
        <v>1304</v>
      </c>
      <c r="E641" s="103" t="s">
        <v>1305</v>
      </c>
      <c r="F641" s="103">
        <v>34.252867999999999</v>
      </c>
      <c r="G641" s="103">
        <v>45.117586143799997</v>
      </c>
      <c r="H641" s="102">
        <v>43</v>
      </c>
      <c r="I641" s="102">
        <v>258</v>
      </c>
      <c r="J641" s="103"/>
      <c r="K641" s="103"/>
      <c r="L641" s="103">
        <v>13</v>
      </c>
      <c r="M641" s="103">
        <v>30</v>
      </c>
      <c r="N641" s="103"/>
      <c r="O641" s="103"/>
      <c r="P641" s="103"/>
      <c r="Q641" s="103"/>
      <c r="R641" s="103"/>
      <c r="S641" s="103"/>
      <c r="T641" s="103"/>
      <c r="U641" s="103"/>
      <c r="V641" s="103"/>
      <c r="W641" s="103"/>
      <c r="X641" s="103"/>
      <c r="Y641" s="103"/>
      <c r="Z641" s="103">
        <v>43</v>
      </c>
      <c r="AA641" s="103"/>
      <c r="AB641" s="103"/>
      <c r="AC641" s="103"/>
      <c r="AD641" s="103"/>
      <c r="AE641" s="103"/>
      <c r="AF641" s="103"/>
      <c r="AG641" s="103"/>
      <c r="AH641" s="103"/>
      <c r="AI641" s="103"/>
      <c r="AJ641" s="103"/>
      <c r="AK641" s="103"/>
      <c r="AL641" s="103"/>
      <c r="AM641" s="103"/>
      <c r="AN641" s="103"/>
      <c r="AO641" s="103">
        <v>43</v>
      </c>
      <c r="AP641" s="103"/>
      <c r="AQ641" s="103"/>
      <c r="AR641" s="103"/>
      <c r="AS641" s="103"/>
      <c r="AT641" s="103"/>
      <c r="AU641" s="103"/>
      <c r="AV641" s="103"/>
      <c r="AW641" s="104" t="str">
        <f>HYPERLINK("http://www.openstreetmap.org/?mlat=34.2529&amp;mlon=45.1176&amp;zoom=12#map=12/34.2529/45.1176","Maplink1")</f>
        <v>Maplink1</v>
      </c>
      <c r="AX641" s="104" t="str">
        <f>HYPERLINK("https://www.google.iq/maps/search/+34.2529,45.1176/@34.2529,45.1176,14z?hl=en","Maplink2")</f>
        <v>Maplink2</v>
      </c>
      <c r="AY641" s="104" t="str">
        <f>HYPERLINK("http://www.bing.com/maps/?lvl=14&amp;sty=h&amp;cp=34.2529~45.1176&amp;sp=point.34.2529_45.1176","Maplink3")</f>
        <v>Maplink3</v>
      </c>
    </row>
    <row r="642" spans="1:51" x14ac:dyDescent="0.2">
      <c r="A642" s="102">
        <v>10747</v>
      </c>
      <c r="B642" s="103" t="s">
        <v>32</v>
      </c>
      <c r="C642" s="103" t="s">
        <v>92</v>
      </c>
      <c r="D642" s="103" t="s">
        <v>1323</v>
      </c>
      <c r="E642" s="103" t="s">
        <v>1324</v>
      </c>
      <c r="F642" s="103">
        <v>34.2988417969</v>
      </c>
      <c r="G642" s="103">
        <v>45.178116446899999</v>
      </c>
      <c r="H642" s="102">
        <v>67</v>
      </c>
      <c r="I642" s="102">
        <v>402</v>
      </c>
      <c r="J642" s="103">
        <v>5</v>
      </c>
      <c r="K642" s="103"/>
      <c r="L642" s="103"/>
      <c r="M642" s="103">
        <v>50</v>
      </c>
      <c r="N642" s="103">
        <v>12</v>
      </c>
      <c r="O642" s="103"/>
      <c r="P642" s="103"/>
      <c r="Q642" s="103"/>
      <c r="R642" s="103"/>
      <c r="S642" s="103"/>
      <c r="T642" s="103"/>
      <c r="U642" s="103"/>
      <c r="V642" s="103"/>
      <c r="W642" s="103"/>
      <c r="X642" s="103"/>
      <c r="Y642" s="103"/>
      <c r="Z642" s="103">
        <v>67</v>
      </c>
      <c r="AA642" s="103"/>
      <c r="AB642" s="103"/>
      <c r="AC642" s="103"/>
      <c r="AD642" s="103"/>
      <c r="AE642" s="103"/>
      <c r="AF642" s="103"/>
      <c r="AG642" s="103"/>
      <c r="AH642" s="103"/>
      <c r="AI642" s="103"/>
      <c r="AJ642" s="103"/>
      <c r="AK642" s="103"/>
      <c r="AL642" s="103"/>
      <c r="AM642" s="103"/>
      <c r="AN642" s="103">
        <v>67</v>
      </c>
      <c r="AO642" s="103"/>
      <c r="AP642" s="103"/>
      <c r="AQ642" s="103"/>
      <c r="AR642" s="103"/>
      <c r="AS642" s="103"/>
      <c r="AT642" s="103"/>
      <c r="AU642" s="103"/>
      <c r="AV642" s="103"/>
      <c r="AW642" s="104" t="str">
        <f>HYPERLINK("http://www.openstreetmap.org/?mlat=34.2988&amp;mlon=45.1781&amp;zoom=12#map=12/34.2988/45.1781","Maplink1")</f>
        <v>Maplink1</v>
      </c>
      <c r="AX642" s="104" t="str">
        <f>HYPERLINK("https://www.google.iq/maps/search/+34.2988,45.1781/@34.2988,45.1781,14z?hl=en","Maplink2")</f>
        <v>Maplink2</v>
      </c>
      <c r="AY642" s="104" t="str">
        <f>HYPERLINK("http://www.bing.com/maps/?lvl=14&amp;sty=h&amp;cp=34.2988~45.1781&amp;sp=point.34.2988_45.1781","Maplink3")</f>
        <v>Maplink3</v>
      </c>
    </row>
    <row r="643" spans="1:51" x14ac:dyDescent="0.2">
      <c r="A643" s="102">
        <v>25702</v>
      </c>
      <c r="B643" s="103" t="s">
        <v>32</v>
      </c>
      <c r="C643" s="103" t="s">
        <v>92</v>
      </c>
      <c r="D643" s="103" t="s">
        <v>1294</v>
      </c>
      <c r="E643" s="103" t="s">
        <v>1295</v>
      </c>
      <c r="F643" s="103">
        <v>34.311106870800003</v>
      </c>
      <c r="G643" s="103">
        <v>45.162921848099998</v>
      </c>
      <c r="H643" s="102">
        <v>220</v>
      </c>
      <c r="I643" s="102">
        <v>1320</v>
      </c>
      <c r="J643" s="103"/>
      <c r="K643" s="103"/>
      <c r="L643" s="103"/>
      <c r="M643" s="103">
        <v>195</v>
      </c>
      <c r="N643" s="103">
        <v>25</v>
      </c>
      <c r="O643" s="103"/>
      <c r="P643" s="103"/>
      <c r="Q643" s="103"/>
      <c r="R643" s="103"/>
      <c r="S643" s="103"/>
      <c r="T643" s="103"/>
      <c r="U643" s="103"/>
      <c r="V643" s="103"/>
      <c r="W643" s="103"/>
      <c r="X643" s="103"/>
      <c r="Y643" s="103"/>
      <c r="Z643" s="103">
        <v>120</v>
      </c>
      <c r="AA643" s="103"/>
      <c r="AB643" s="103"/>
      <c r="AC643" s="103">
        <v>40</v>
      </c>
      <c r="AD643" s="103"/>
      <c r="AE643" s="103"/>
      <c r="AF643" s="103"/>
      <c r="AG643" s="103"/>
      <c r="AH643" s="103"/>
      <c r="AI643" s="103"/>
      <c r="AJ643" s="103">
        <v>60</v>
      </c>
      <c r="AK643" s="103"/>
      <c r="AL643" s="103"/>
      <c r="AM643" s="103"/>
      <c r="AN643" s="103"/>
      <c r="AO643" s="103"/>
      <c r="AP643" s="103">
        <v>220</v>
      </c>
      <c r="AQ643" s="103"/>
      <c r="AR643" s="103"/>
      <c r="AS643" s="103"/>
      <c r="AT643" s="103"/>
      <c r="AU643" s="103"/>
      <c r="AV643" s="103"/>
      <c r="AW643" s="104" t="str">
        <f>HYPERLINK("http://www.openstreetmap.org/?mlat=34.3111&amp;mlon=45.1629&amp;zoom=12#map=12/34.3111/45.1629","Maplink1")</f>
        <v>Maplink1</v>
      </c>
      <c r="AX643" s="104" t="str">
        <f>HYPERLINK("https://www.google.iq/maps/search/+34.3111,45.1629/@34.3111,45.1629,14z?hl=en","Maplink2")</f>
        <v>Maplink2</v>
      </c>
      <c r="AY643" s="104" t="str">
        <f>HYPERLINK("http://www.bing.com/maps/?lvl=14&amp;sty=h&amp;cp=34.3111~45.1629&amp;sp=point.34.3111_45.1629","Maplink3")</f>
        <v>Maplink3</v>
      </c>
    </row>
    <row r="644" spans="1:51" x14ac:dyDescent="0.2">
      <c r="A644" s="102">
        <v>29520</v>
      </c>
      <c r="B644" s="103" t="s">
        <v>32</v>
      </c>
      <c r="C644" s="103" t="s">
        <v>92</v>
      </c>
      <c r="D644" s="103" t="s">
        <v>1296</v>
      </c>
      <c r="E644" s="103" t="s">
        <v>1297</v>
      </c>
      <c r="F644" s="103">
        <v>34.189599370000003</v>
      </c>
      <c r="G644" s="103">
        <v>45.1165251412</v>
      </c>
      <c r="H644" s="102">
        <v>173</v>
      </c>
      <c r="I644" s="102">
        <v>1038</v>
      </c>
      <c r="J644" s="103"/>
      <c r="K644" s="103"/>
      <c r="L644" s="103"/>
      <c r="M644" s="103">
        <v>158</v>
      </c>
      <c r="N644" s="103">
        <v>15</v>
      </c>
      <c r="O644" s="103"/>
      <c r="P644" s="103"/>
      <c r="Q644" s="103"/>
      <c r="R644" s="103"/>
      <c r="S644" s="103"/>
      <c r="T644" s="103"/>
      <c r="U644" s="103"/>
      <c r="V644" s="103"/>
      <c r="W644" s="103"/>
      <c r="X644" s="103"/>
      <c r="Y644" s="103"/>
      <c r="Z644" s="103">
        <v>150</v>
      </c>
      <c r="AA644" s="103"/>
      <c r="AB644" s="103"/>
      <c r="AC644" s="103">
        <v>5</v>
      </c>
      <c r="AD644" s="103"/>
      <c r="AE644" s="103"/>
      <c r="AF644" s="103"/>
      <c r="AG644" s="103"/>
      <c r="AH644" s="103"/>
      <c r="AI644" s="103"/>
      <c r="AJ644" s="103">
        <v>18</v>
      </c>
      <c r="AK644" s="103"/>
      <c r="AL644" s="103"/>
      <c r="AM644" s="103"/>
      <c r="AN644" s="103">
        <v>173</v>
      </c>
      <c r="AO644" s="103"/>
      <c r="AP644" s="103"/>
      <c r="AQ644" s="103"/>
      <c r="AR644" s="103"/>
      <c r="AS644" s="103"/>
      <c r="AT644" s="103"/>
      <c r="AU644" s="103"/>
      <c r="AV644" s="103"/>
      <c r="AW644" s="104" t="str">
        <f>HYPERLINK("http://www.openstreetmap.org/?mlat=34.1896&amp;mlon=45.1165&amp;zoom=12#map=12/34.1896/45.1165","Maplink1")</f>
        <v>Maplink1</v>
      </c>
      <c r="AX644" s="104" t="str">
        <f>HYPERLINK("https://www.google.iq/maps/search/+34.1896,45.1165/@34.1896,45.1165,14z?hl=en","Maplink2")</f>
        <v>Maplink2</v>
      </c>
      <c r="AY644" s="104" t="str">
        <f>HYPERLINK("http://www.bing.com/maps/?lvl=14&amp;sty=h&amp;cp=34.1896~45.1165&amp;sp=point.34.1896_45.1165","Maplink3")</f>
        <v>Maplink3</v>
      </c>
    </row>
    <row r="645" spans="1:51" x14ac:dyDescent="0.2">
      <c r="A645" s="102">
        <v>10945</v>
      </c>
      <c r="B645" s="103" t="s">
        <v>32</v>
      </c>
      <c r="C645" s="103" t="s">
        <v>92</v>
      </c>
      <c r="D645" s="103" t="s">
        <v>1298</v>
      </c>
      <c r="E645" s="103" t="s">
        <v>1299</v>
      </c>
      <c r="F645" s="103">
        <v>34.257221999999999</v>
      </c>
      <c r="G645" s="103">
        <v>45.2107515521</v>
      </c>
      <c r="H645" s="102">
        <v>72</v>
      </c>
      <c r="I645" s="102">
        <v>432</v>
      </c>
      <c r="J645" s="103"/>
      <c r="K645" s="103"/>
      <c r="L645" s="103"/>
      <c r="M645" s="103">
        <v>62</v>
      </c>
      <c r="N645" s="103">
        <v>10</v>
      </c>
      <c r="O645" s="103"/>
      <c r="P645" s="103"/>
      <c r="Q645" s="103"/>
      <c r="R645" s="103"/>
      <c r="S645" s="103"/>
      <c r="T645" s="103"/>
      <c r="U645" s="103"/>
      <c r="V645" s="103"/>
      <c r="W645" s="103"/>
      <c r="X645" s="103"/>
      <c r="Y645" s="103"/>
      <c r="Z645" s="103">
        <v>67</v>
      </c>
      <c r="AA645" s="103"/>
      <c r="AB645" s="103"/>
      <c r="AC645" s="103"/>
      <c r="AD645" s="103"/>
      <c r="AE645" s="103"/>
      <c r="AF645" s="103"/>
      <c r="AG645" s="103"/>
      <c r="AH645" s="103"/>
      <c r="AI645" s="103"/>
      <c r="AJ645" s="103">
        <v>5</v>
      </c>
      <c r="AK645" s="103"/>
      <c r="AL645" s="103"/>
      <c r="AM645" s="103"/>
      <c r="AN645" s="103">
        <v>32</v>
      </c>
      <c r="AO645" s="103">
        <v>40</v>
      </c>
      <c r="AP645" s="103"/>
      <c r="AQ645" s="103"/>
      <c r="AR645" s="103"/>
      <c r="AS645" s="103"/>
      <c r="AT645" s="103"/>
      <c r="AU645" s="103"/>
      <c r="AV645" s="103"/>
      <c r="AW645" s="104" t="str">
        <f>HYPERLINK("http://www.openstreetmap.org/?mlat=34.2572&amp;mlon=45.2108&amp;zoom=12#map=12/34.2572/45.2108","Maplink1")</f>
        <v>Maplink1</v>
      </c>
      <c r="AX645" s="104" t="str">
        <f>HYPERLINK("https://www.google.iq/maps/search/+34.2572,45.2108/@34.2572,45.2108,14z?hl=en","Maplink2")</f>
        <v>Maplink2</v>
      </c>
      <c r="AY645" s="104" t="str">
        <f>HYPERLINK("http://www.bing.com/maps/?lvl=14&amp;sty=h&amp;cp=34.2572~45.2108&amp;sp=point.34.2572_45.2108","Maplink3")</f>
        <v>Maplink3</v>
      </c>
    </row>
    <row r="646" spans="1:51" x14ac:dyDescent="0.2">
      <c r="A646" s="102">
        <v>29519</v>
      </c>
      <c r="B646" s="103" t="s">
        <v>32</v>
      </c>
      <c r="C646" s="103" t="s">
        <v>92</v>
      </c>
      <c r="D646" s="103" t="s">
        <v>1325</v>
      </c>
      <c r="E646" s="103" t="s">
        <v>1326</v>
      </c>
      <c r="F646" s="103">
        <v>34.198936400000001</v>
      </c>
      <c r="G646" s="103">
        <v>45.131445647500001</v>
      </c>
      <c r="H646" s="102">
        <v>100</v>
      </c>
      <c r="I646" s="102">
        <v>600</v>
      </c>
      <c r="J646" s="103"/>
      <c r="K646" s="103"/>
      <c r="L646" s="103"/>
      <c r="M646" s="103">
        <v>78</v>
      </c>
      <c r="N646" s="103">
        <v>22</v>
      </c>
      <c r="O646" s="103"/>
      <c r="P646" s="103"/>
      <c r="Q646" s="103"/>
      <c r="R646" s="103"/>
      <c r="S646" s="103"/>
      <c r="T646" s="103"/>
      <c r="U646" s="103"/>
      <c r="V646" s="103"/>
      <c r="W646" s="103"/>
      <c r="X646" s="103"/>
      <c r="Y646" s="103"/>
      <c r="Z646" s="103">
        <v>100</v>
      </c>
      <c r="AA646" s="103"/>
      <c r="AB646" s="103"/>
      <c r="AC646" s="103"/>
      <c r="AD646" s="103"/>
      <c r="AE646" s="103"/>
      <c r="AF646" s="103"/>
      <c r="AG646" s="103"/>
      <c r="AH646" s="103"/>
      <c r="AI646" s="103"/>
      <c r="AJ646" s="103"/>
      <c r="AK646" s="103"/>
      <c r="AL646" s="103"/>
      <c r="AM646" s="103"/>
      <c r="AN646" s="103">
        <v>100</v>
      </c>
      <c r="AO646" s="103"/>
      <c r="AP646" s="103"/>
      <c r="AQ646" s="103"/>
      <c r="AR646" s="103"/>
      <c r="AS646" s="103"/>
      <c r="AT646" s="103"/>
      <c r="AU646" s="103"/>
      <c r="AV646" s="103"/>
      <c r="AW646" s="104" t="str">
        <f>HYPERLINK("http://www.openstreetmap.org/?mlat=34.1989&amp;mlon=45.1314&amp;zoom=12#map=12/34.1989/45.1314","Maplink1")</f>
        <v>Maplink1</v>
      </c>
      <c r="AX646" s="104" t="str">
        <f>HYPERLINK("https://www.google.iq/maps/search/+34.1989,45.1314/@34.1989,45.1314,14z?hl=en","Maplink2")</f>
        <v>Maplink2</v>
      </c>
      <c r="AY646" s="104" t="str">
        <f>HYPERLINK("http://www.bing.com/maps/?lvl=14&amp;sty=h&amp;cp=34.1989~45.1314&amp;sp=point.34.1989_45.1314","Maplink3")</f>
        <v>Maplink3</v>
      </c>
    </row>
    <row r="647" spans="1:51" x14ac:dyDescent="0.2">
      <c r="A647" s="102">
        <v>29521</v>
      </c>
      <c r="B647" s="103" t="s">
        <v>32</v>
      </c>
      <c r="C647" s="103" t="s">
        <v>92</v>
      </c>
      <c r="D647" s="103" t="s">
        <v>1327</v>
      </c>
      <c r="E647" s="103" t="s">
        <v>149</v>
      </c>
      <c r="F647" s="103">
        <v>34.177523829999998</v>
      </c>
      <c r="G647" s="103">
        <v>45.125224942899997</v>
      </c>
      <c r="H647" s="102">
        <v>205</v>
      </c>
      <c r="I647" s="102">
        <v>1230</v>
      </c>
      <c r="J647" s="103"/>
      <c r="K647" s="103"/>
      <c r="L647" s="103"/>
      <c r="M647" s="103">
        <v>180</v>
      </c>
      <c r="N647" s="103">
        <v>25</v>
      </c>
      <c r="O647" s="103"/>
      <c r="P647" s="103"/>
      <c r="Q647" s="103"/>
      <c r="R647" s="103"/>
      <c r="S647" s="103"/>
      <c r="T647" s="103"/>
      <c r="U647" s="103"/>
      <c r="V647" s="103"/>
      <c r="W647" s="103"/>
      <c r="X647" s="103"/>
      <c r="Y647" s="103"/>
      <c r="Z647" s="103">
        <v>165</v>
      </c>
      <c r="AA647" s="103">
        <v>15</v>
      </c>
      <c r="AB647" s="103"/>
      <c r="AC647" s="103">
        <v>20</v>
      </c>
      <c r="AD647" s="103"/>
      <c r="AE647" s="103"/>
      <c r="AF647" s="103"/>
      <c r="AG647" s="103"/>
      <c r="AH647" s="103"/>
      <c r="AI647" s="103"/>
      <c r="AJ647" s="103">
        <v>5</v>
      </c>
      <c r="AK647" s="103"/>
      <c r="AL647" s="103"/>
      <c r="AM647" s="103"/>
      <c r="AN647" s="103">
        <v>205</v>
      </c>
      <c r="AO647" s="103"/>
      <c r="AP647" s="103"/>
      <c r="AQ647" s="103"/>
      <c r="AR647" s="103"/>
      <c r="AS647" s="103"/>
      <c r="AT647" s="103"/>
      <c r="AU647" s="103"/>
      <c r="AV647" s="103"/>
      <c r="AW647" s="104" t="str">
        <f>HYPERLINK("http://www.openstreetmap.org/?mlat=34.1775&amp;mlon=45.1252&amp;zoom=12#map=12/34.1775/45.1252","Maplink1")</f>
        <v>Maplink1</v>
      </c>
      <c r="AX647" s="104" t="str">
        <f>HYPERLINK("https://www.google.iq/maps/search/+34.1775,45.1252/@34.1775,45.1252,14z?hl=en","Maplink2")</f>
        <v>Maplink2</v>
      </c>
      <c r="AY647" s="104" t="str">
        <f>HYPERLINK("http://www.bing.com/maps/?lvl=14&amp;sty=h&amp;cp=34.1775~45.1252&amp;sp=point.34.1775_45.1252","Maplink3")</f>
        <v>Maplink3</v>
      </c>
    </row>
    <row r="648" spans="1:51" x14ac:dyDescent="0.2">
      <c r="A648" s="102">
        <v>31752</v>
      </c>
      <c r="B648" s="103" t="s">
        <v>32</v>
      </c>
      <c r="C648" s="103" t="s">
        <v>92</v>
      </c>
      <c r="D648" s="103" t="s">
        <v>1328</v>
      </c>
      <c r="E648" s="103" t="s">
        <v>1329</v>
      </c>
      <c r="F648" s="103">
        <v>34.284166999999997</v>
      </c>
      <c r="G648" s="103">
        <v>45.162780037799998</v>
      </c>
      <c r="H648" s="102">
        <v>410</v>
      </c>
      <c r="I648" s="102">
        <v>2460</v>
      </c>
      <c r="J648" s="103"/>
      <c r="K648" s="103"/>
      <c r="L648" s="103">
        <v>10</v>
      </c>
      <c r="M648" s="103">
        <v>380</v>
      </c>
      <c r="N648" s="103">
        <v>20</v>
      </c>
      <c r="O648" s="103"/>
      <c r="P648" s="103"/>
      <c r="Q648" s="103"/>
      <c r="R648" s="103"/>
      <c r="S648" s="103"/>
      <c r="T648" s="103"/>
      <c r="U648" s="103"/>
      <c r="V648" s="103"/>
      <c r="W648" s="103"/>
      <c r="X648" s="103"/>
      <c r="Y648" s="103"/>
      <c r="Z648" s="103">
        <v>360</v>
      </c>
      <c r="AA648" s="103"/>
      <c r="AB648" s="103"/>
      <c r="AC648" s="103">
        <v>5</v>
      </c>
      <c r="AD648" s="103"/>
      <c r="AE648" s="103"/>
      <c r="AF648" s="103"/>
      <c r="AG648" s="103"/>
      <c r="AH648" s="103"/>
      <c r="AI648" s="103"/>
      <c r="AJ648" s="103">
        <v>45</v>
      </c>
      <c r="AK648" s="103"/>
      <c r="AL648" s="103"/>
      <c r="AM648" s="103"/>
      <c r="AN648" s="103">
        <v>160</v>
      </c>
      <c r="AO648" s="103">
        <v>250</v>
      </c>
      <c r="AP648" s="103"/>
      <c r="AQ648" s="103"/>
      <c r="AR648" s="103"/>
      <c r="AS648" s="103"/>
      <c r="AT648" s="103"/>
      <c r="AU648" s="103"/>
      <c r="AV648" s="103"/>
      <c r="AW648" s="104" t="str">
        <f>HYPERLINK("http://www.openstreetmap.org/?mlat=34.2842&amp;mlon=45.1628&amp;zoom=12#map=12/34.2842/45.1628","Maplink1")</f>
        <v>Maplink1</v>
      </c>
      <c r="AX648" s="104" t="str">
        <f>HYPERLINK("https://www.google.iq/maps/search/+34.2842,45.1628/@34.2842,45.1628,14z?hl=en","Maplink2")</f>
        <v>Maplink2</v>
      </c>
      <c r="AY648" s="104" t="str">
        <f>HYPERLINK("http://www.bing.com/maps/?lvl=14&amp;sty=h&amp;cp=34.2842~45.1628&amp;sp=point.34.2842_45.1628","Maplink3")</f>
        <v>Maplink3</v>
      </c>
    </row>
    <row r="649" spans="1:51" x14ac:dyDescent="0.2">
      <c r="A649" s="102">
        <v>31757</v>
      </c>
      <c r="B649" s="103" t="s">
        <v>32</v>
      </c>
      <c r="C649" s="103" t="s">
        <v>92</v>
      </c>
      <c r="D649" s="103" t="s">
        <v>1330</v>
      </c>
      <c r="E649" s="103" t="s">
        <v>1331</v>
      </c>
      <c r="F649" s="103">
        <v>34.268332999999998</v>
      </c>
      <c r="G649" s="103">
        <v>45.169117680600003</v>
      </c>
      <c r="H649" s="102">
        <v>345</v>
      </c>
      <c r="I649" s="102">
        <v>2070</v>
      </c>
      <c r="J649" s="103"/>
      <c r="K649" s="103"/>
      <c r="L649" s="103">
        <v>5</v>
      </c>
      <c r="M649" s="103">
        <v>290</v>
      </c>
      <c r="N649" s="103">
        <v>50</v>
      </c>
      <c r="O649" s="103"/>
      <c r="P649" s="103"/>
      <c r="Q649" s="103"/>
      <c r="R649" s="103"/>
      <c r="S649" s="103"/>
      <c r="T649" s="103"/>
      <c r="U649" s="103"/>
      <c r="V649" s="103"/>
      <c r="W649" s="103">
        <v>10</v>
      </c>
      <c r="X649" s="103"/>
      <c r="Y649" s="103"/>
      <c r="Z649" s="103">
        <v>276</v>
      </c>
      <c r="AA649" s="103"/>
      <c r="AB649" s="103"/>
      <c r="AC649" s="103"/>
      <c r="AD649" s="103"/>
      <c r="AE649" s="103"/>
      <c r="AF649" s="103"/>
      <c r="AG649" s="103"/>
      <c r="AH649" s="103"/>
      <c r="AI649" s="103"/>
      <c r="AJ649" s="103">
        <v>59</v>
      </c>
      <c r="AK649" s="103"/>
      <c r="AL649" s="103"/>
      <c r="AM649" s="103"/>
      <c r="AN649" s="103">
        <v>115</v>
      </c>
      <c r="AO649" s="103">
        <v>230</v>
      </c>
      <c r="AP649" s="103"/>
      <c r="AQ649" s="103"/>
      <c r="AR649" s="103"/>
      <c r="AS649" s="103"/>
      <c r="AT649" s="103"/>
      <c r="AU649" s="103"/>
      <c r="AV649" s="103"/>
      <c r="AW649" s="104" t="str">
        <f>HYPERLINK("http://www.openstreetmap.org/?mlat=34.2683&amp;mlon=45.1691&amp;zoom=12#map=12/34.2683/45.1691","Maplink1")</f>
        <v>Maplink1</v>
      </c>
      <c r="AX649" s="104" t="str">
        <f>HYPERLINK("https://www.google.iq/maps/search/+34.2683,45.1691/@34.2683,45.1691,14z?hl=en","Maplink2")</f>
        <v>Maplink2</v>
      </c>
      <c r="AY649" s="104" t="str">
        <f>HYPERLINK("http://www.bing.com/maps/?lvl=14&amp;sty=h&amp;cp=34.2683~45.1691&amp;sp=point.34.2683_45.1691","Maplink3")</f>
        <v>Maplink3</v>
      </c>
    </row>
    <row r="650" spans="1:51" x14ac:dyDescent="0.2">
      <c r="A650" s="102">
        <v>32022</v>
      </c>
      <c r="B650" s="103" t="s">
        <v>32</v>
      </c>
      <c r="C650" s="103" t="s">
        <v>92</v>
      </c>
      <c r="D650" s="103" t="s">
        <v>1332</v>
      </c>
      <c r="E650" s="103" t="s">
        <v>1333</v>
      </c>
      <c r="F650" s="103">
        <v>34.205703</v>
      </c>
      <c r="G650" s="103">
        <v>45.118153612299999</v>
      </c>
      <c r="H650" s="102">
        <v>18</v>
      </c>
      <c r="I650" s="102">
        <v>108</v>
      </c>
      <c r="J650" s="103"/>
      <c r="K650" s="103"/>
      <c r="L650" s="103"/>
      <c r="M650" s="103">
        <v>18</v>
      </c>
      <c r="N650" s="103"/>
      <c r="O650" s="103"/>
      <c r="P650" s="103"/>
      <c r="Q650" s="103"/>
      <c r="R650" s="103"/>
      <c r="S650" s="103"/>
      <c r="T650" s="103"/>
      <c r="U650" s="103"/>
      <c r="V650" s="103"/>
      <c r="W650" s="103"/>
      <c r="X650" s="103"/>
      <c r="Y650" s="103"/>
      <c r="Z650" s="103">
        <v>18</v>
      </c>
      <c r="AA650" s="103"/>
      <c r="AB650" s="103"/>
      <c r="AC650" s="103"/>
      <c r="AD650" s="103"/>
      <c r="AE650" s="103"/>
      <c r="AF650" s="103"/>
      <c r="AG650" s="103"/>
      <c r="AH650" s="103"/>
      <c r="AI650" s="103"/>
      <c r="AJ650" s="103"/>
      <c r="AK650" s="103"/>
      <c r="AL650" s="103"/>
      <c r="AM650" s="103"/>
      <c r="AN650" s="103">
        <v>18</v>
      </c>
      <c r="AO650" s="103"/>
      <c r="AP650" s="103"/>
      <c r="AQ650" s="103"/>
      <c r="AR650" s="103"/>
      <c r="AS650" s="103"/>
      <c r="AT650" s="103"/>
      <c r="AU650" s="103"/>
      <c r="AV650" s="103"/>
      <c r="AW650" s="104" t="str">
        <f>HYPERLINK("http://www.openstreetmap.org/?mlat=34.2057&amp;mlon=45.1182&amp;zoom=12#map=12/34.2057/45.1182","Maplink1")</f>
        <v>Maplink1</v>
      </c>
      <c r="AX650" s="104" t="str">
        <f>HYPERLINK("https://www.google.iq/maps/search/+34.2057,45.1182/@34.2057,45.1182,14z?hl=en","Maplink2")</f>
        <v>Maplink2</v>
      </c>
      <c r="AY650" s="104" t="str">
        <f>HYPERLINK("http://www.bing.com/maps/?lvl=14&amp;sty=h&amp;cp=34.2057~45.1182&amp;sp=point.34.2057_45.1182","Maplink3")</f>
        <v>Maplink3</v>
      </c>
    </row>
    <row r="651" spans="1:51" x14ac:dyDescent="0.2">
      <c r="A651" s="102">
        <v>29507</v>
      </c>
      <c r="B651" s="103" t="s">
        <v>32</v>
      </c>
      <c r="C651" s="103" t="s">
        <v>92</v>
      </c>
      <c r="D651" s="103" t="s">
        <v>1342</v>
      </c>
      <c r="E651" s="103" t="s">
        <v>1343</v>
      </c>
      <c r="F651" s="103">
        <v>34.199649999999998</v>
      </c>
      <c r="G651" s="103">
        <v>45.127555823400002</v>
      </c>
      <c r="H651" s="102">
        <v>300</v>
      </c>
      <c r="I651" s="102">
        <v>1800</v>
      </c>
      <c r="J651" s="103"/>
      <c r="K651" s="103"/>
      <c r="L651" s="103">
        <v>25</v>
      </c>
      <c r="M651" s="103">
        <v>255</v>
      </c>
      <c r="N651" s="103">
        <v>20</v>
      </c>
      <c r="O651" s="103"/>
      <c r="P651" s="103"/>
      <c r="Q651" s="103"/>
      <c r="R651" s="103"/>
      <c r="S651" s="103"/>
      <c r="T651" s="103"/>
      <c r="U651" s="103"/>
      <c r="V651" s="103"/>
      <c r="W651" s="103"/>
      <c r="X651" s="103"/>
      <c r="Y651" s="103"/>
      <c r="Z651" s="103">
        <v>255</v>
      </c>
      <c r="AA651" s="103"/>
      <c r="AB651" s="103"/>
      <c r="AC651" s="103">
        <v>10</v>
      </c>
      <c r="AD651" s="103"/>
      <c r="AE651" s="103"/>
      <c r="AF651" s="103"/>
      <c r="AG651" s="103"/>
      <c r="AH651" s="103"/>
      <c r="AI651" s="103"/>
      <c r="AJ651" s="103">
        <v>35</v>
      </c>
      <c r="AK651" s="103"/>
      <c r="AL651" s="103"/>
      <c r="AM651" s="103"/>
      <c r="AN651" s="103">
        <v>300</v>
      </c>
      <c r="AO651" s="103"/>
      <c r="AP651" s="103"/>
      <c r="AQ651" s="103"/>
      <c r="AR651" s="103"/>
      <c r="AS651" s="103"/>
      <c r="AT651" s="103"/>
      <c r="AU651" s="103"/>
      <c r="AV651" s="103"/>
      <c r="AW651" s="104" t="str">
        <f>HYPERLINK("http://www.openstreetmap.org/?mlat=34.1996&amp;mlon=45.1276&amp;zoom=12#map=12/34.1996/45.1276","Maplink1")</f>
        <v>Maplink1</v>
      </c>
      <c r="AX651" s="104" t="str">
        <f>HYPERLINK("https://www.google.iq/maps/search/+34.1996,45.1276/@34.1996,45.1276,14z?hl=en","Maplink2")</f>
        <v>Maplink2</v>
      </c>
      <c r="AY651" s="104" t="str">
        <f>HYPERLINK("http://www.bing.com/maps/?lvl=14&amp;sty=h&amp;cp=34.1996~45.1276&amp;sp=point.34.1996_45.1276","Maplink3")</f>
        <v>Maplink3</v>
      </c>
    </row>
    <row r="652" spans="1:51" x14ac:dyDescent="0.2">
      <c r="A652" s="102">
        <v>31746</v>
      </c>
      <c r="B652" s="103" t="s">
        <v>32</v>
      </c>
      <c r="C652" s="103" t="s">
        <v>92</v>
      </c>
      <c r="D652" s="103" t="s">
        <v>1344</v>
      </c>
      <c r="E652" s="103" t="s">
        <v>1345</v>
      </c>
      <c r="F652" s="103">
        <v>34.287222</v>
      </c>
      <c r="G652" s="103">
        <v>45.165311574299999</v>
      </c>
      <c r="H652" s="102">
        <v>300</v>
      </c>
      <c r="I652" s="102">
        <v>1800</v>
      </c>
      <c r="J652" s="103"/>
      <c r="K652" s="103"/>
      <c r="L652" s="103"/>
      <c r="M652" s="103">
        <v>285</v>
      </c>
      <c r="N652" s="103">
        <v>15</v>
      </c>
      <c r="O652" s="103"/>
      <c r="P652" s="103"/>
      <c r="Q652" s="103"/>
      <c r="R652" s="103"/>
      <c r="S652" s="103"/>
      <c r="T652" s="103"/>
      <c r="U652" s="103"/>
      <c r="V652" s="103"/>
      <c r="W652" s="103"/>
      <c r="X652" s="103"/>
      <c r="Y652" s="103"/>
      <c r="Z652" s="103">
        <v>250</v>
      </c>
      <c r="AA652" s="103"/>
      <c r="AB652" s="103"/>
      <c r="AC652" s="103"/>
      <c r="AD652" s="103"/>
      <c r="AE652" s="103"/>
      <c r="AF652" s="103"/>
      <c r="AG652" s="103"/>
      <c r="AH652" s="103"/>
      <c r="AI652" s="103"/>
      <c r="AJ652" s="103">
        <v>50</v>
      </c>
      <c r="AK652" s="103"/>
      <c r="AL652" s="103"/>
      <c r="AM652" s="103"/>
      <c r="AN652" s="103">
        <v>200</v>
      </c>
      <c r="AO652" s="103">
        <v>100</v>
      </c>
      <c r="AP652" s="103"/>
      <c r="AQ652" s="103"/>
      <c r="AR652" s="103"/>
      <c r="AS652" s="103"/>
      <c r="AT652" s="103"/>
      <c r="AU652" s="103"/>
      <c r="AV652" s="103"/>
      <c r="AW652" s="104" t="str">
        <f>HYPERLINK("http://www.openstreetmap.org/?mlat=34.2872&amp;mlon=45.1653&amp;zoom=12#map=12/34.2872/45.1653","Maplink1")</f>
        <v>Maplink1</v>
      </c>
      <c r="AX652" s="104" t="str">
        <f>HYPERLINK("https://www.google.iq/maps/search/+34.2872,45.1653/@34.2872,45.1653,14z?hl=en","Maplink2")</f>
        <v>Maplink2</v>
      </c>
      <c r="AY652" s="104" t="str">
        <f>HYPERLINK("http://www.bing.com/maps/?lvl=14&amp;sty=h&amp;cp=34.2872~45.1653&amp;sp=point.34.2872_45.1653","Maplink3")</f>
        <v>Maplink3</v>
      </c>
    </row>
    <row r="653" spans="1:51" x14ac:dyDescent="0.2">
      <c r="A653" s="102">
        <v>33111</v>
      </c>
      <c r="B653" s="103" t="s">
        <v>32</v>
      </c>
      <c r="C653" s="103" t="s">
        <v>92</v>
      </c>
      <c r="D653" s="103" t="s">
        <v>1346</v>
      </c>
      <c r="E653" s="103" t="s">
        <v>1347</v>
      </c>
      <c r="F653" s="103">
        <v>34.192135999999998</v>
      </c>
      <c r="G653" s="103">
        <v>45.157197269900003</v>
      </c>
      <c r="H653" s="102">
        <v>25</v>
      </c>
      <c r="I653" s="102">
        <v>150</v>
      </c>
      <c r="J653" s="103"/>
      <c r="K653" s="103"/>
      <c r="L653" s="103"/>
      <c r="M653" s="103">
        <v>25</v>
      </c>
      <c r="N653" s="103"/>
      <c r="O653" s="103"/>
      <c r="P653" s="103"/>
      <c r="Q653" s="103"/>
      <c r="R653" s="103"/>
      <c r="S653" s="103"/>
      <c r="T653" s="103"/>
      <c r="U653" s="103"/>
      <c r="V653" s="103"/>
      <c r="W653" s="103"/>
      <c r="X653" s="103"/>
      <c r="Y653" s="103"/>
      <c r="Z653" s="103">
        <v>25</v>
      </c>
      <c r="AA653" s="103"/>
      <c r="AB653" s="103"/>
      <c r="AC653" s="103"/>
      <c r="AD653" s="103"/>
      <c r="AE653" s="103"/>
      <c r="AF653" s="103"/>
      <c r="AG653" s="103"/>
      <c r="AH653" s="103"/>
      <c r="AI653" s="103"/>
      <c r="AJ653" s="103"/>
      <c r="AK653" s="103"/>
      <c r="AL653" s="103"/>
      <c r="AM653" s="103"/>
      <c r="AN653" s="103">
        <v>25</v>
      </c>
      <c r="AO653" s="103"/>
      <c r="AP653" s="103"/>
      <c r="AQ653" s="103"/>
      <c r="AR653" s="103"/>
      <c r="AS653" s="103"/>
      <c r="AT653" s="103"/>
      <c r="AU653" s="103"/>
      <c r="AV653" s="103"/>
      <c r="AW653" s="104" t="str">
        <f>HYPERLINK("http://www.openstreetmap.org/?mlat=34.1921&amp;mlon=45.1572&amp;zoom=12#map=12/34.1921/45.1572","Maplink1")</f>
        <v>Maplink1</v>
      </c>
      <c r="AX653" s="104" t="str">
        <f>HYPERLINK("https://www.google.iq/maps/search/+34.1921,45.1572/@34.1921,45.1572,14z?hl=en","Maplink2")</f>
        <v>Maplink2</v>
      </c>
      <c r="AY653" s="104" t="str">
        <f>HYPERLINK("http://www.bing.com/maps/?lvl=14&amp;sty=h&amp;cp=34.1921~45.1572&amp;sp=point.34.1921_45.1572","Maplink3")</f>
        <v>Maplink3</v>
      </c>
    </row>
    <row r="654" spans="1:51" x14ac:dyDescent="0.2">
      <c r="A654" s="102">
        <v>11003</v>
      </c>
      <c r="B654" s="103" t="s">
        <v>32</v>
      </c>
      <c r="C654" s="103" t="s">
        <v>92</v>
      </c>
      <c r="D654" s="103" t="s">
        <v>1348</v>
      </c>
      <c r="E654" s="103" t="s">
        <v>1349</v>
      </c>
      <c r="F654" s="103">
        <v>34.234600100000002</v>
      </c>
      <c r="G654" s="103">
        <v>45.081773055500001</v>
      </c>
      <c r="H654" s="102">
        <v>15</v>
      </c>
      <c r="I654" s="102">
        <v>90</v>
      </c>
      <c r="J654" s="103"/>
      <c r="K654" s="103"/>
      <c r="L654" s="103"/>
      <c r="M654" s="103">
        <v>15</v>
      </c>
      <c r="N654" s="103"/>
      <c r="O654" s="103"/>
      <c r="P654" s="103"/>
      <c r="Q654" s="103"/>
      <c r="R654" s="103"/>
      <c r="S654" s="103"/>
      <c r="T654" s="103"/>
      <c r="U654" s="103"/>
      <c r="V654" s="103"/>
      <c r="W654" s="103"/>
      <c r="X654" s="103"/>
      <c r="Y654" s="103"/>
      <c r="Z654" s="103">
        <v>15</v>
      </c>
      <c r="AA654" s="103"/>
      <c r="AB654" s="103"/>
      <c r="AC654" s="103"/>
      <c r="AD654" s="103"/>
      <c r="AE654" s="103"/>
      <c r="AF654" s="103"/>
      <c r="AG654" s="103"/>
      <c r="AH654" s="103"/>
      <c r="AI654" s="103"/>
      <c r="AJ654" s="103"/>
      <c r="AK654" s="103"/>
      <c r="AL654" s="103"/>
      <c r="AM654" s="103"/>
      <c r="AN654" s="103"/>
      <c r="AO654" s="103">
        <v>15</v>
      </c>
      <c r="AP654" s="103"/>
      <c r="AQ654" s="103"/>
      <c r="AR654" s="103"/>
      <c r="AS654" s="103"/>
      <c r="AT654" s="103"/>
      <c r="AU654" s="103"/>
      <c r="AV654" s="103"/>
      <c r="AW654" s="104" t="str">
        <f>HYPERLINK("http://www.openstreetmap.org/?mlat=34.2346&amp;mlon=45.0818&amp;zoom=12#map=12/34.2346/45.0818","Maplink1")</f>
        <v>Maplink1</v>
      </c>
      <c r="AX654" s="104" t="str">
        <f>HYPERLINK("https://www.google.iq/maps/search/+34.2346,45.0818/@34.2346,45.0818,14z?hl=en","Maplink2")</f>
        <v>Maplink2</v>
      </c>
      <c r="AY654" s="104" t="str">
        <f>HYPERLINK("http://www.bing.com/maps/?lvl=14&amp;sty=h&amp;cp=34.2346~45.0818&amp;sp=point.34.2346_45.0818","Maplink3")</f>
        <v>Maplink3</v>
      </c>
    </row>
    <row r="655" spans="1:51" x14ac:dyDescent="0.2">
      <c r="A655" s="102">
        <v>28460</v>
      </c>
      <c r="B655" s="103" t="s">
        <v>32</v>
      </c>
      <c r="C655" s="103" t="s">
        <v>92</v>
      </c>
      <c r="D655" s="103" t="s">
        <v>1391</v>
      </c>
      <c r="E655" s="103" t="s">
        <v>589</v>
      </c>
      <c r="F655" s="103">
        <v>34.288499219999999</v>
      </c>
      <c r="G655" s="103">
        <v>45.161599445100002</v>
      </c>
      <c r="H655" s="102">
        <v>300</v>
      </c>
      <c r="I655" s="102">
        <v>1800</v>
      </c>
      <c r="J655" s="103"/>
      <c r="K655" s="103"/>
      <c r="L655" s="103"/>
      <c r="M655" s="103">
        <v>260</v>
      </c>
      <c r="N655" s="103">
        <v>40</v>
      </c>
      <c r="O655" s="103"/>
      <c r="P655" s="103"/>
      <c r="Q655" s="103"/>
      <c r="R655" s="103"/>
      <c r="S655" s="103"/>
      <c r="T655" s="103"/>
      <c r="U655" s="103"/>
      <c r="V655" s="103"/>
      <c r="W655" s="103">
        <v>5</v>
      </c>
      <c r="X655" s="103"/>
      <c r="Y655" s="103"/>
      <c r="Z655" s="103">
        <v>200</v>
      </c>
      <c r="AA655" s="103">
        <v>3</v>
      </c>
      <c r="AB655" s="103"/>
      <c r="AC655" s="103">
        <v>22</v>
      </c>
      <c r="AD655" s="103"/>
      <c r="AE655" s="103"/>
      <c r="AF655" s="103"/>
      <c r="AG655" s="103"/>
      <c r="AH655" s="103"/>
      <c r="AI655" s="103"/>
      <c r="AJ655" s="103">
        <v>70</v>
      </c>
      <c r="AK655" s="103"/>
      <c r="AL655" s="103"/>
      <c r="AM655" s="103"/>
      <c r="AN655" s="103">
        <v>80</v>
      </c>
      <c r="AO655" s="103">
        <v>170</v>
      </c>
      <c r="AP655" s="103"/>
      <c r="AQ655" s="103"/>
      <c r="AR655" s="103"/>
      <c r="AS655" s="103"/>
      <c r="AT655" s="103">
        <v>50</v>
      </c>
      <c r="AU655" s="103"/>
      <c r="AV655" s="103"/>
      <c r="AW655" s="104" t="str">
        <f>HYPERLINK("http://www.openstreetmap.org/?mlat=34.2885&amp;mlon=45.1616&amp;zoom=12#map=12/34.2885/45.1616","Maplink1")</f>
        <v>Maplink1</v>
      </c>
      <c r="AX655" s="104" t="str">
        <f>HYPERLINK("https://www.google.iq/maps/search/+34.2885,45.1616/@34.2885,45.1616,14z?hl=en","Maplink2")</f>
        <v>Maplink2</v>
      </c>
      <c r="AY655" s="104" t="str">
        <f>HYPERLINK("http://www.bing.com/maps/?lvl=14&amp;sty=h&amp;cp=34.2885~45.1616&amp;sp=point.34.2885_45.1616","Maplink3")</f>
        <v>Maplink3</v>
      </c>
    </row>
    <row r="656" spans="1:51" x14ac:dyDescent="0.2">
      <c r="A656" s="102">
        <v>29564</v>
      </c>
      <c r="B656" s="103" t="s">
        <v>32</v>
      </c>
      <c r="C656" s="103" t="s">
        <v>92</v>
      </c>
      <c r="D656" s="103" t="s">
        <v>1392</v>
      </c>
      <c r="E656" s="103" t="s">
        <v>1393</v>
      </c>
      <c r="F656" s="103">
        <v>34.27881447</v>
      </c>
      <c r="G656" s="103">
        <v>45.1627629563</v>
      </c>
      <c r="H656" s="102">
        <v>378</v>
      </c>
      <c r="I656" s="102">
        <v>2268</v>
      </c>
      <c r="J656" s="103"/>
      <c r="K656" s="103"/>
      <c r="L656" s="103">
        <v>28</v>
      </c>
      <c r="M656" s="103">
        <v>325</v>
      </c>
      <c r="N656" s="103">
        <v>25</v>
      </c>
      <c r="O656" s="103"/>
      <c r="P656" s="103"/>
      <c r="Q656" s="103"/>
      <c r="R656" s="103"/>
      <c r="S656" s="103"/>
      <c r="T656" s="103"/>
      <c r="U656" s="103"/>
      <c r="V656" s="103"/>
      <c r="W656" s="103"/>
      <c r="X656" s="103"/>
      <c r="Y656" s="103"/>
      <c r="Z656" s="103">
        <v>347</v>
      </c>
      <c r="AA656" s="103"/>
      <c r="AB656" s="103"/>
      <c r="AC656" s="103">
        <v>25</v>
      </c>
      <c r="AD656" s="103"/>
      <c r="AE656" s="103"/>
      <c r="AF656" s="103"/>
      <c r="AG656" s="103"/>
      <c r="AH656" s="103"/>
      <c r="AI656" s="103"/>
      <c r="AJ656" s="103">
        <v>6</v>
      </c>
      <c r="AK656" s="103"/>
      <c r="AL656" s="103"/>
      <c r="AM656" s="103"/>
      <c r="AN656" s="103">
        <v>200</v>
      </c>
      <c r="AO656" s="103">
        <v>178</v>
      </c>
      <c r="AP656" s="103"/>
      <c r="AQ656" s="103"/>
      <c r="AR656" s="103"/>
      <c r="AS656" s="103"/>
      <c r="AT656" s="103"/>
      <c r="AU656" s="103"/>
      <c r="AV656" s="103"/>
      <c r="AW656" s="104" t="str">
        <f>HYPERLINK("http://www.openstreetmap.org/?mlat=34.2788&amp;mlon=45.1628&amp;zoom=12#map=12/34.2788/45.1628","Maplink1")</f>
        <v>Maplink1</v>
      </c>
      <c r="AX656" s="104" t="str">
        <f>HYPERLINK("https://www.google.iq/maps/search/+34.2788,45.1628/@34.2788,45.1628,14z?hl=en","Maplink2")</f>
        <v>Maplink2</v>
      </c>
      <c r="AY656" s="104" t="str">
        <f>HYPERLINK("http://www.bing.com/maps/?lvl=14&amp;sty=h&amp;cp=34.2788~45.1628&amp;sp=point.34.2788_45.1628","Maplink3")</f>
        <v>Maplink3</v>
      </c>
    </row>
    <row r="657" spans="1:51" x14ac:dyDescent="0.2">
      <c r="A657" s="102">
        <v>31755</v>
      </c>
      <c r="B657" s="103" t="s">
        <v>32</v>
      </c>
      <c r="C657" s="103" t="s">
        <v>92</v>
      </c>
      <c r="D657" s="103" t="s">
        <v>1394</v>
      </c>
      <c r="E657" s="103" t="s">
        <v>1395</v>
      </c>
      <c r="F657" s="103">
        <v>34.268611</v>
      </c>
      <c r="G657" s="103">
        <v>45.1730338777</v>
      </c>
      <c r="H657" s="102">
        <v>370</v>
      </c>
      <c r="I657" s="102">
        <v>2220</v>
      </c>
      <c r="J657" s="103"/>
      <c r="K657" s="103"/>
      <c r="L657" s="103"/>
      <c r="M657" s="103">
        <v>310</v>
      </c>
      <c r="N657" s="103">
        <v>60</v>
      </c>
      <c r="O657" s="103"/>
      <c r="P657" s="103"/>
      <c r="Q657" s="103"/>
      <c r="R657" s="103"/>
      <c r="S657" s="103"/>
      <c r="T657" s="103"/>
      <c r="U657" s="103"/>
      <c r="V657" s="103"/>
      <c r="W657" s="103">
        <v>13</v>
      </c>
      <c r="X657" s="103"/>
      <c r="Y657" s="103"/>
      <c r="Z657" s="103">
        <v>290</v>
      </c>
      <c r="AA657" s="103"/>
      <c r="AB657" s="103"/>
      <c r="AC657" s="103">
        <v>10</v>
      </c>
      <c r="AD657" s="103"/>
      <c r="AE657" s="103"/>
      <c r="AF657" s="103"/>
      <c r="AG657" s="103"/>
      <c r="AH657" s="103"/>
      <c r="AI657" s="103"/>
      <c r="AJ657" s="103">
        <v>57</v>
      </c>
      <c r="AK657" s="103"/>
      <c r="AL657" s="103"/>
      <c r="AM657" s="103"/>
      <c r="AN657" s="103">
        <v>170</v>
      </c>
      <c r="AO657" s="103">
        <v>200</v>
      </c>
      <c r="AP657" s="103"/>
      <c r="AQ657" s="103"/>
      <c r="AR657" s="103"/>
      <c r="AS657" s="103"/>
      <c r="AT657" s="103"/>
      <c r="AU657" s="103"/>
      <c r="AV657" s="103"/>
      <c r="AW657" s="104" t="str">
        <f>HYPERLINK("http://www.openstreetmap.org/?mlat=34.2686&amp;mlon=45.173&amp;zoom=12#map=12/34.2686/45.173","Maplink1")</f>
        <v>Maplink1</v>
      </c>
      <c r="AX657" s="104" t="str">
        <f>HYPERLINK("https://www.google.iq/maps/search/+34.2686,45.173/@34.2686,45.173,14z?hl=en","Maplink2")</f>
        <v>Maplink2</v>
      </c>
      <c r="AY657" s="104" t="str">
        <f>HYPERLINK("http://www.bing.com/maps/?lvl=14&amp;sty=h&amp;cp=34.2686~45.173&amp;sp=point.34.2686_45.173","Maplink3")</f>
        <v>Maplink3</v>
      </c>
    </row>
    <row r="658" spans="1:51" x14ac:dyDescent="0.2">
      <c r="A658" s="102">
        <v>33361</v>
      </c>
      <c r="B658" s="103" t="s">
        <v>32</v>
      </c>
      <c r="C658" s="103" t="s">
        <v>92</v>
      </c>
      <c r="D658" s="103" t="s">
        <v>1396</v>
      </c>
      <c r="E658" s="103" t="s">
        <v>1397</v>
      </c>
      <c r="F658" s="103">
        <v>34.2353855</v>
      </c>
      <c r="G658" s="103">
        <v>45.1147370431</v>
      </c>
      <c r="H658" s="102">
        <v>140</v>
      </c>
      <c r="I658" s="102">
        <v>840</v>
      </c>
      <c r="J658" s="103"/>
      <c r="K658" s="103"/>
      <c r="L658" s="103"/>
      <c r="M658" s="103">
        <v>100</v>
      </c>
      <c r="N658" s="103">
        <v>40</v>
      </c>
      <c r="O658" s="103"/>
      <c r="P658" s="103"/>
      <c r="Q658" s="103"/>
      <c r="R658" s="103"/>
      <c r="S658" s="103"/>
      <c r="T658" s="103"/>
      <c r="U658" s="103"/>
      <c r="V658" s="103"/>
      <c r="W658" s="103"/>
      <c r="X658" s="103"/>
      <c r="Y658" s="103"/>
      <c r="Z658" s="103">
        <v>140</v>
      </c>
      <c r="AA658" s="103"/>
      <c r="AB658" s="103"/>
      <c r="AC658" s="103"/>
      <c r="AD658" s="103"/>
      <c r="AE658" s="103"/>
      <c r="AF658" s="103"/>
      <c r="AG658" s="103"/>
      <c r="AH658" s="103"/>
      <c r="AI658" s="103"/>
      <c r="AJ658" s="103"/>
      <c r="AK658" s="103"/>
      <c r="AL658" s="103"/>
      <c r="AM658" s="103"/>
      <c r="AN658" s="103">
        <v>25</v>
      </c>
      <c r="AO658" s="103">
        <v>115</v>
      </c>
      <c r="AP658" s="103"/>
      <c r="AQ658" s="103"/>
      <c r="AR658" s="103"/>
      <c r="AS658" s="103"/>
      <c r="AT658" s="103"/>
      <c r="AU658" s="103"/>
      <c r="AV658" s="103"/>
      <c r="AW658" s="104" t="str">
        <f>HYPERLINK("http://www.openstreetmap.org/?mlat=34.2354&amp;mlon=45.1147&amp;zoom=12#map=12/34.2354/45.1147","Maplink1")</f>
        <v>Maplink1</v>
      </c>
      <c r="AX658" s="104" t="str">
        <f>HYPERLINK("https://www.google.iq/maps/search/+34.2354,45.1147/@34.2354,45.1147,14z?hl=en","Maplink2")</f>
        <v>Maplink2</v>
      </c>
      <c r="AY658" s="104" t="str">
        <f>HYPERLINK("http://www.bing.com/maps/?lvl=14&amp;sty=h&amp;cp=34.2354~45.1147&amp;sp=point.34.2354_45.1147","Maplink3")</f>
        <v>Maplink3</v>
      </c>
    </row>
    <row r="659" spans="1:51" x14ac:dyDescent="0.2">
      <c r="A659" s="102">
        <v>11435</v>
      </c>
      <c r="B659" s="103" t="s">
        <v>32</v>
      </c>
      <c r="C659" s="103" t="s">
        <v>92</v>
      </c>
      <c r="D659" s="103" t="s">
        <v>1398</v>
      </c>
      <c r="E659" s="103" t="s">
        <v>1399</v>
      </c>
      <c r="F659" s="103">
        <v>34.161608339300003</v>
      </c>
      <c r="G659" s="103">
        <v>45.134585940299999</v>
      </c>
      <c r="H659" s="102">
        <v>174</v>
      </c>
      <c r="I659" s="102">
        <v>1044</v>
      </c>
      <c r="J659" s="103">
        <v>4</v>
      </c>
      <c r="K659" s="103"/>
      <c r="L659" s="103">
        <v>20</v>
      </c>
      <c r="M659" s="103">
        <v>125</v>
      </c>
      <c r="N659" s="103">
        <v>25</v>
      </c>
      <c r="O659" s="103"/>
      <c r="P659" s="103"/>
      <c r="Q659" s="103"/>
      <c r="R659" s="103"/>
      <c r="S659" s="103"/>
      <c r="T659" s="103"/>
      <c r="U659" s="103"/>
      <c r="V659" s="103"/>
      <c r="W659" s="103"/>
      <c r="X659" s="103"/>
      <c r="Y659" s="103"/>
      <c r="Z659" s="103">
        <v>140</v>
      </c>
      <c r="AA659" s="103"/>
      <c r="AB659" s="103"/>
      <c r="AC659" s="103">
        <v>20</v>
      </c>
      <c r="AD659" s="103"/>
      <c r="AE659" s="103"/>
      <c r="AF659" s="103"/>
      <c r="AG659" s="103"/>
      <c r="AH659" s="103"/>
      <c r="AI659" s="103"/>
      <c r="AJ659" s="103">
        <v>14</v>
      </c>
      <c r="AK659" s="103"/>
      <c r="AL659" s="103"/>
      <c r="AM659" s="103"/>
      <c r="AN659" s="103">
        <v>124</v>
      </c>
      <c r="AO659" s="103">
        <v>50</v>
      </c>
      <c r="AP659" s="103"/>
      <c r="AQ659" s="103"/>
      <c r="AR659" s="103"/>
      <c r="AS659" s="103"/>
      <c r="AT659" s="103"/>
      <c r="AU659" s="103"/>
      <c r="AV659" s="103"/>
      <c r="AW659" s="104" t="str">
        <f>HYPERLINK("http://www.openstreetmap.org/?mlat=34.1616&amp;mlon=45.1346&amp;zoom=12#map=12/34.1616/45.1346","Maplink1")</f>
        <v>Maplink1</v>
      </c>
      <c r="AX659" s="104" t="str">
        <f>HYPERLINK("https://www.google.iq/maps/search/+34.1616,45.1346/@34.1616,45.1346,14z?hl=en","Maplink2")</f>
        <v>Maplink2</v>
      </c>
      <c r="AY659" s="104" t="str">
        <f>HYPERLINK("http://www.bing.com/maps/?lvl=14&amp;sty=h&amp;cp=34.1616~45.1346&amp;sp=point.34.1616_45.1346","Maplink3")</f>
        <v>Maplink3</v>
      </c>
    </row>
    <row r="660" spans="1:51" x14ac:dyDescent="0.2">
      <c r="A660" s="102">
        <v>31764</v>
      </c>
      <c r="B660" s="103" t="s">
        <v>32</v>
      </c>
      <c r="C660" s="103" t="s">
        <v>92</v>
      </c>
      <c r="D660" s="103" t="s">
        <v>1400</v>
      </c>
      <c r="E660" s="103" t="s">
        <v>1401</v>
      </c>
      <c r="F660" s="103">
        <v>34.266666999999998</v>
      </c>
      <c r="G660" s="103">
        <v>45.163247371300002</v>
      </c>
      <c r="H660" s="102">
        <v>275</v>
      </c>
      <c r="I660" s="102">
        <v>1650</v>
      </c>
      <c r="J660" s="103"/>
      <c r="K660" s="103"/>
      <c r="L660" s="103">
        <v>7</v>
      </c>
      <c r="M660" s="103">
        <v>250</v>
      </c>
      <c r="N660" s="103">
        <v>18</v>
      </c>
      <c r="O660" s="103"/>
      <c r="P660" s="103"/>
      <c r="Q660" s="103"/>
      <c r="R660" s="103"/>
      <c r="S660" s="103"/>
      <c r="T660" s="103"/>
      <c r="U660" s="103"/>
      <c r="V660" s="103"/>
      <c r="W660" s="103">
        <v>10</v>
      </c>
      <c r="X660" s="103"/>
      <c r="Y660" s="103"/>
      <c r="Z660" s="103">
        <v>195</v>
      </c>
      <c r="AA660" s="103"/>
      <c r="AB660" s="103"/>
      <c r="AC660" s="103">
        <v>10</v>
      </c>
      <c r="AD660" s="103"/>
      <c r="AE660" s="103"/>
      <c r="AF660" s="103"/>
      <c r="AG660" s="103"/>
      <c r="AH660" s="103"/>
      <c r="AI660" s="103"/>
      <c r="AJ660" s="103">
        <v>60</v>
      </c>
      <c r="AK660" s="103"/>
      <c r="AL660" s="103"/>
      <c r="AM660" s="103"/>
      <c r="AN660" s="103">
        <v>100</v>
      </c>
      <c r="AO660" s="103">
        <v>175</v>
      </c>
      <c r="AP660" s="103"/>
      <c r="AQ660" s="103"/>
      <c r="AR660" s="103"/>
      <c r="AS660" s="103"/>
      <c r="AT660" s="103"/>
      <c r="AU660" s="103"/>
      <c r="AV660" s="103"/>
      <c r="AW660" s="104" t="str">
        <f>HYPERLINK("http://www.openstreetmap.org/?mlat=34.2667&amp;mlon=45.1632&amp;zoom=12#map=12/34.2667/45.1632","Maplink1")</f>
        <v>Maplink1</v>
      </c>
      <c r="AX660" s="104" t="str">
        <f>HYPERLINK("https://www.google.iq/maps/search/+34.2667,45.1632/@34.2667,45.1632,14z?hl=en","Maplink2")</f>
        <v>Maplink2</v>
      </c>
      <c r="AY660" s="104" t="str">
        <f>HYPERLINK("http://www.bing.com/maps/?lvl=14&amp;sty=h&amp;cp=34.2667~45.1632&amp;sp=point.34.2667_45.1632","Maplink3")</f>
        <v>Maplink3</v>
      </c>
    </row>
    <row r="661" spans="1:51" x14ac:dyDescent="0.2">
      <c r="A661" s="102">
        <v>27391</v>
      </c>
      <c r="B661" s="103" t="s">
        <v>32</v>
      </c>
      <c r="C661" s="103" t="s">
        <v>92</v>
      </c>
      <c r="D661" s="103" t="s">
        <v>1280</v>
      </c>
      <c r="E661" s="103" t="s">
        <v>1281</v>
      </c>
      <c r="F661" s="103">
        <v>34.182388590000002</v>
      </c>
      <c r="G661" s="103">
        <v>45.118430159100001</v>
      </c>
      <c r="H661" s="102">
        <v>383</v>
      </c>
      <c r="I661" s="102">
        <v>2298</v>
      </c>
      <c r="J661" s="103"/>
      <c r="K661" s="103"/>
      <c r="L661" s="103">
        <v>40</v>
      </c>
      <c r="M661" s="103">
        <v>303</v>
      </c>
      <c r="N661" s="103">
        <v>40</v>
      </c>
      <c r="O661" s="103"/>
      <c r="P661" s="103"/>
      <c r="Q661" s="103"/>
      <c r="R661" s="103"/>
      <c r="S661" s="103"/>
      <c r="T661" s="103"/>
      <c r="U661" s="103"/>
      <c r="V661" s="103"/>
      <c r="W661" s="103"/>
      <c r="X661" s="103"/>
      <c r="Y661" s="103"/>
      <c r="Z661" s="103">
        <v>316</v>
      </c>
      <c r="AA661" s="103"/>
      <c r="AB661" s="103"/>
      <c r="AC661" s="103">
        <v>7</v>
      </c>
      <c r="AD661" s="103"/>
      <c r="AE661" s="103"/>
      <c r="AF661" s="103"/>
      <c r="AG661" s="103"/>
      <c r="AH661" s="103"/>
      <c r="AI661" s="103"/>
      <c r="AJ661" s="103">
        <v>60</v>
      </c>
      <c r="AK661" s="103"/>
      <c r="AL661" s="103"/>
      <c r="AM661" s="103"/>
      <c r="AN661" s="103">
        <v>383</v>
      </c>
      <c r="AO661" s="103"/>
      <c r="AP661" s="103"/>
      <c r="AQ661" s="103"/>
      <c r="AR661" s="103"/>
      <c r="AS661" s="103"/>
      <c r="AT661" s="103"/>
      <c r="AU661" s="103"/>
      <c r="AV661" s="103"/>
      <c r="AW661" s="104" t="str">
        <f>HYPERLINK("http://www.openstreetmap.org/?mlat=34.1824&amp;mlon=45.1184&amp;zoom=12#map=12/34.1824/45.1184","Maplink1")</f>
        <v>Maplink1</v>
      </c>
      <c r="AX661" s="104" t="str">
        <f>HYPERLINK("https://www.google.iq/maps/search/+34.1824,45.1184/@34.1824,45.1184,14z?hl=en","Maplink2")</f>
        <v>Maplink2</v>
      </c>
      <c r="AY661" s="104" t="str">
        <f>HYPERLINK("http://www.bing.com/maps/?lvl=14&amp;sty=h&amp;cp=34.1824~45.1184&amp;sp=point.34.1824_45.1184","Maplink3")</f>
        <v>Maplink3</v>
      </c>
    </row>
    <row r="662" spans="1:51" x14ac:dyDescent="0.2">
      <c r="A662" s="102">
        <v>25983</v>
      </c>
      <c r="B662" s="103" t="s">
        <v>32</v>
      </c>
      <c r="C662" s="103" t="s">
        <v>92</v>
      </c>
      <c r="D662" s="103" t="s">
        <v>1334</v>
      </c>
      <c r="E662" s="103" t="s">
        <v>1335</v>
      </c>
      <c r="F662" s="103">
        <v>34.1925345728</v>
      </c>
      <c r="G662" s="103">
        <v>45.125936185299999</v>
      </c>
      <c r="H662" s="102">
        <v>208</v>
      </c>
      <c r="I662" s="102">
        <v>1248</v>
      </c>
      <c r="J662" s="103"/>
      <c r="K662" s="103"/>
      <c r="L662" s="103"/>
      <c r="M662" s="103">
        <v>190</v>
      </c>
      <c r="N662" s="103">
        <v>18</v>
      </c>
      <c r="O662" s="103"/>
      <c r="P662" s="103"/>
      <c r="Q662" s="103"/>
      <c r="R662" s="103"/>
      <c r="S662" s="103"/>
      <c r="T662" s="103"/>
      <c r="U662" s="103"/>
      <c r="V662" s="103"/>
      <c r="W662" s="103"/>
      <c r="X662" s="103"/>
      <c r="Y662" s="103"/>
      <c r="Z662" s="103">
        <v>200</v>
      </c>
      <c r="AA662" s="103"/>
      <c r="AB662" s="103"/>
      <c r="AC662" s="103">
        <v>8</v>
      </c>
      <c r="AD662" s="103"/>
      <c r="AE662" s="103"/>
      <c r="AF662" s="103"/>
      <c r="AG662" s="103"/>
      <c r="AH662" s="103"/>
      <c r="AI662" s="103"/>
      <c r="AJ662" s="103"/>
      <c r="AK662" s="103"/>
      <c r="AL662" s="103"/>
      <c r="AM662" s="103"/>
      <c r="AN662" s="103">
        <v>208</v>
      </c>
      <c r="AO662" s="103"/>
      <c r="AP662" s="103"/>
      <c r="AQ662" s="103"/>
      <c r="AR662" s="103"/>
      <c r="AS662" s="103"/>
      <c r="AT662" s="103"/>
      <c r="AU662" s="103"/>
      <c r="AV662" s="103"/>
      <c r="AW662" s="104" t="str">
        <f>HYPERLINK("http://www.openstreetmap.org/?mlat=34.1925&amp;mlon=45.1259&amp;zoom=12#map=12/34.1925/45.1259","Maplink1")</f>
        <v>Maplink1</v>
      </c>
      <c r="AX662" s="104" t="str">
        <f>HYPERLINK("https://www.google.iq/maps/search/+34.1925,45.1259/@34.1925,45.1259,14z?hl=en","Maplink2")</f>
        <v>Maplink2</v>
      </c>
      <c r="AY662" s="104" t="str">
        <f>HYPERLINK("http://www.bing.com/maps/?lvl=14&amp;sty=h&amp;cp=34.1925~45.1259&amp;sp=point.34.1925_45.1259","Maplink3")</f>
        <v>Maplink3</v>
      </c>
    </row>
    <row r="663" spans="1:51" x14ac:dyDescent="0.2">
      <c r="A663" s="102">
        <v>31756</v>
      </c>
      <c r="B663" s="103" t="s">
        <v>32</v>
      </c>
      <c r="C663" s="103" t="s">
        <v>92</v>
      </c>
      <c r="D663" s="103" t="s">
        <v>1336</v>
      </c>
      <c r="E663" s="103" t="s">
        <v>1337</v>
      </c>
      <c r="F663" s="103">
        <v>34.267778</v>
      </c>
      <c r="G663" s="103">
        <v>45.175651903800002</v>
      </c>
      <c r="H663" s="102">
        <v>350</v>
      </c>
      <c r="I663" s="102">
        <v>2100</v>
      </c>
      <c r="J663" s="103"/>
      <c r="K663" s="103"/>
      <c r="L663" s="103"/>
      <c r="M663" s="103">
        <v>330</v>
      </c>
      <c r="N663" s="103">
        <v>20</v>
      </c>
      <c r="O663" s="103"/>
      <c r="P663" s="103"/>
      <c r="Q663" s="103"/>
      <c r="R663" s="103"/>
      <c r="S663" s="103"/>
      <c r="T663" s="103"/>
      <c r="U663" s="103"/>
      <c r="V663" s="103"/>
      <c r="W663" s="103">
        <v>7</v>
      </c>
      <c r="X663" s="103"/>
      <c r="Y663" s="103"/>
      <c r="Z663" s="103">
        <v>300</v>
      </c>
      <c r="AA663" s="103"/>
      <c r="AB663" s="103"/>
      <c r="AC663" s="103">
        <v>8</v>
      </c>
      <c r="AD663" s="103"/>
      <c r="AE663" s="103"/>
      <c r="AF663" s="103"/>
      <c r="AG663" s="103"/>
      <c r="AH663" s="103"/>
      <c r="AI663" s="103"/>
      <c r="AJ663" s="103">
        <v>35</v>
      </c>
      <c r="AK663" s="103"/>
      <c r="AL663" s="103"/>
      <c r="AM663" s="103"/>
      <c r="AN663" s="103">
        <v>130</v>
      </c>
      <c r="AO663" s="103">
        <v>220</v>
      </c>
      <c r="AP663" s="103"/>
      <c r="AQ663" s="103"/>
      <c r="AR663" s="103"/>
      <c r="AS663" s="103"/>
      <c r="AT663" s="103"/>
      <c r="AU663" s="103"/>
      <c r="AV663" s="103"/>
      <c r="AW663" s="104" t="str">
        <f>HYPERLINK("http://www.openstreetmap.org/?mlat=34.2678&amp;mlon=45.1757&amp;zoom=12#map=12/34.2678/45.1757","Maplink1")</f>
        <v>Maplink1</v>
      </c>
      <c r="AX663" s="104" t="str">
        <f>HYPERLINK("https://www.google.iq/maps/search/+34.2678,45.1757/@34.2678,45.1757,14z?hl=en","Maplink2")</f>
        <v>Maplink2</v>
      </c>
      <c r="AY663" s="104" t="str">
        <f>HYPERLINK("http://www.bing.com/maps/?lvl=14&amp;sty=h&amp;cp=34.2678~45.1757&amp;sp=point.34.2678_45.1757","Maplink3")</f>
        <v>Maplink3</v>
      </c>
    </row>
    <row r="664" spans="1:51" x14ac:dyDescent="0.2">
      <c r="A664" s="102">
        <v>31763</v>
      </c>
      <c r="B664" s="103" t="s">
        <v>32</v>
      </c>
      <c r="C664" s="103" t="s">
        <v>92</v>
      </c>
      <c r="D664" s="103" t="s">
        <v>1338</v>
      </c>
      <c r="E664" s="103" t="s">
        <v>1339</v>
      </c>
      <c r="F664" s="103">
        <v>34.269722000000002</v>
      </c>
      <c r="G664" s="103">
        <v>45.162945442000002</v>
      </c>
      <c r="H664" s="102">
        <v>375</v>
      </c>
      <c r="I664" s="102">
        <v>2250</v>
      </c>
      <c r="J664" s="103"/>
      <c r="K664" s="103"/>
      <c r="L664" s="103">
        <v>10</v>
      </c>
      <c r="M664" s="103">
        <v>340</v>
      </c>
      <c r="N664" s="103">
        <v>25</v>
      </c>
      <c r="O664" s="103"/>
      <c r="P664" s="103"/>
      <c r="Q664" s="103"/>
      <c r="R664" s="103"/>
      <c r="S664" s="103"/>
      <c r="T664" s="103"/>
      <c r="U664" s="103"/>
      <c r="V664" s="103"/>
      <c r="W664" s="103"/>
      <c r="X664" s="103"/>
      <c r="Y664" s="103"/>
      <c r="Z664" s="103">
        <v>299</v>
      </c>
      <c r="AA664" s="103"/>
      <c r="AB664" s="103"/>
      <c r="AC664" s="103">
        <v>5</v>
      </c>
      <c r="AD664" s="103"/>
      <c r="AE664" s="103"/>
      <c r="AF664" s="103"/>
      <c r="AG664" s="103"/>
      <c r="AH664" s="103"/>
      <c r="AI664" s="103"/>
      <c r="AJ664" s="103">
        <v>71</v>
      </c>
      <c r="AK664" s="103"/>
      <c r="AL664" s="103"/>
      <c r="AM664" s="103"/>
      <c r="AN664" s="103">
        <v>170</v>
      </c>
      <c r="AO664" s="103">
        <v>205</v>
      </c>
      <c r="AP664" s="103"/>
      <c r="AQ664" s="103"/>
      <c r="AR664" s="103"/>
      <c r="AS664" s="103"/>
      <c r="AT664" s="103"/>
      <c r="AU664" s="103"/>
      <c r="AV664" s="103"/>
      <c r="AW664" s="104" t="str">
        <f>HYPERLINK("http://www.openstreetmap.org/?mlat=34.2697&amp;mlon=45.1629&amp;zoom=12#map=12/34.2697/45.1629","Maplink1")</f>
        <v>Maplink1</v>
      </c>
      <c r="AX664" s="104" t="str">
        <f>HYPERLINK("https://www.google.iq/maps/search/+34.2697,45.1629/@34.2697,45.1629,14z?hl=en","Maplink2")</f>
        <v>Maplink2</v>
      </c>
      <c r="AY664" s="104" t="str">
        <f>HYPERLINK("http://www.bing.com/maps/?lvl=14&amp;sty=h&amp;cp=34.2697~45.1629&amp;sp=point.34.2697_45.1629","Maplink3")</f>
        <v>Maplink3</v>
      </c>
    </row>
    <row r="665" spans="1:51" x14ac:dyDescent="0.2">
      <c r="A665" s="102">
        <v>25703</v>
      </c>
      <c r="B665" s="103" t="s">
        <v>32</v>
      </c>
      <c r="C665" s="103" t="s">
        <v>93</v>
      </c>
      <c r="D665" s="103" t="s">
        <v>1410</v>
      </c>
      <c r="E665" s="103" t="s">
        <v>1411</v>
      </c>
      <c r="F665" s="103">
        <v>34.4135016691</v>
      </c>
      <c r="G665" s="103">
        <v>44.926613648999997</v>
      </c>
      <c r="H665" s="102">
        <v>200</v>
      </c>
      <c r="I665" s="102">
        <v>1200</v>
      </c>
      <c r="J665" s="103"/>
      <c r="K665" s="103"/>
      <c r="L665" s="103"/>
      <c r="M665" s="103">
        <v>200</v>
      </c>
      <c r="N665" s="103"/>
      <c r="O665" s="103"/>
      <c r="P665" s="103"/>
      <c r="Q665" s="103"/>
      <c r="R665" s="103"/>
      <c r="S665" s="103"/>
      <c r="T665" s="103"/>
      <c r="U665" s="103"/>
      <c r="V665" s="103"/>
      <c r="W665" s="103"/>
      <c r="X665" s="103"/>
      <c r="Y665" s="103"/>
      <c r="Z665" s="103">
        <v>200</v>
      </c>
      <c r="AA665" s="103"/>
      <c r="AB665" s="103"/>
      <c r="AC665" s="103"/>
      <c r="AD665" s="103"/>
      <c r="AE665" s="103"/>
      <c r="AF665" s="103"/>
      <c r="AG665" s="103"/>
      <c r="AH665" s="103"/>
      <c r="AI665" s="103"/>
      <c r="AJ665" s="103"/>
      <c r="AK665" s="103"/>
      <c r="AL665" s="103"/>
      <c r="AM665" s="103"/>
      <c r="AN665" s="103"/>
      <c r="AO665" s="103"/>
      <c r="AP665" s="103">
        <v>200</v>
      </c>
      <c r="AQ665" s="103"/>
      <c r="AR665" s="103"/>
      <c r="AS665" s="103"/>
      <c r="AT665" s="103"/>
      <c r="AU665" s="103"/>
      <c r="AV665" s="103"/>
      <c r="AW665" s="104" t="str">
        <f>HYPERLINK("http://www.openstreetmap.org/?mlat=34.4135&amp;mlon=44.9266&amp;zoom=12#map=12/34.4135/44.9266","Maplink1")</f>
        <v>Maplink1</v>
      </c>
      <c r="AX665" s="104" t="str">
        <f>HYPERLINK("https://www.google.iq/maps/search/+34.4135,44.9266/@34.4135,44.9266,14z?hl=en","Maplink2")</f>
        <v>Maplink2</v>
      </c>
      <c r="AY665" s="104" t="str">
        <f>HYPERLINK("http://www.bing.com/maps/?lvl=14&amp;sty=h&amp;cp=34.4135~44.9266&amp;sp=point.34.4135_44.9266","Maplink3")</f>
        <v>Maplink3</v>
      </c>
    </row>
    <row r="666" spans="1:51" x14ac:dyDescent="0.2">
      <c r="A666" s="102">
        <v>13500</v>
      </c>
      <c r="B666" s="103" t="s">
        <v>33</v>
      </c>
      <c r="C666" s="103" t="s">
        <v>94</v>
      </c>
      <c r="D666" s="103" t="s">
        <v>1508</v>
      </c>
      <c r="E666" s="103" t="s">
        <v>1509</v>
      </c>
      <c r="F666" s="103">
        <v>35.776267070000003</v>
      </c>
      <c r="G666" s="103">
        <v>43.587045799999999</v>
      </c>
      <c r="H666" s="102">
        <v>160</v>
      </c>
      <c r="I666" s="102">
        <v>960</v>
      </c>
      <c r="J666" s="103"/>
      <c r="K666" s="103"/>
      <c r="L666" s="103"/>
      <c r="M666" s="103">
        <v>160</v>
      </c>
      <c r="N666" s="103"/>
      <c r="O666" s="103"/>
      <c r="P666" s="103"/>
      <c r="Q666" s="103"/>
      <c r="R666" s="103"/>
      <c r="S666" s="103"/>
      <c r="T666" s="103"/>
      <c r="U666" s="103"/>
      <c r="V666" s="103"/>
      <c r="W666" s="103"/>
      <c r="X666" s="103"/>
      <c r="Y666" s="103"/>
      <c r="Z666" s="103"/>
      <c r="AA666" s="103">
        <v>160</v>
      </c>
      <c r="AB666" s="103"/>
      <c r="AC666" s="103"/>
      <c r="AD666" s="103"/>
      <c r="AE666" s="103"/>
      <c r="AF666" s="103"/>
      <c r="AG666" s="103"/>
      <c r="AH666" s="103"/>
      <c r="AI666" s="103"/>
      <c r="AJ666" s="103"/>
      <c r="AK666" s="103"/>
      <c r="AL666" s="103"/>
      <c r="AM666" s="103"/>
      <c r="AN666" s="103"/>
      <c r="AO666" s="103"/>
      <c r="AP666" s="103"/>
      <c r="AQ666" s="103"/>
      <c r="AR666" s="103"/>
      <c r="AS666" s="103"/>
      <c r="AT666" s="103">
        <v>160</v>
      </c>
      <c r="AU666" s="103"/>
      <c r="AV666" s="103"/>
      <c r="AW666" s="104" t="str">
        <f>HYPERLINK("http://www.openstreetmap.org/?mlat=35.7763&amp;mlon=43.587&amp;zoom=12#map=12/35.7763/43.587","Maplink1")</f>
        <v>Maplink1</v>
      </c>
      <c r="AX666" s="104" t="str">
        <f>HYPERLINK("https://www.google.iq/maps/search/+35.7763,43.587/@35.7763,43.587,14z?hl=en","Maplink2")</f>
        <v>Maplink2</v>
      </c>
      <c r="AY666" s="104" t="str">
        <f>HYPERLINK("http://www.bing.com/maps/?lvl=14&amp;sty=h&amp;cp=35.7763~43.587&amp;sp=point.35.7763_43.587","Maplink3")</f>
        <v>Maplink3</v>
      </c>
    </row>
    <row r="667" spans="1:51" x14ac:dyDescent="0.2">
      <c r="A667" s="102">
        <v>13502</v>
      </c>
      <c r="B667" s="103" t="s">
        <v>33</v>
      </c>
      <c r="C667" s="103" t="s">
        <v>94</v>
      </c>
      <c r="D667" s="103" t="s">
        <v>1510</v>
      </c>
      <c r="E667" s="103" t="s">
        <v>1511</v>
      </c>
      <c r="F667" s="103">
        <v>35.777571080000001</v>
      </c>
      <c r="G667" s="103">
        <v>43.575368009800002</v>
      </c>
      <c r="H667" s="102">
        <v>180</v>
      </c>
      <c r="I667" s="102">
        <v>1080</v>
      </c>
      <c r="J667" s="103"/>
      <c r="K667" s="103"/>
      <c r="L667" s="103"/>
      <c r="M667" s="103">
        <v>180</v>
      </c>
      <c r="N667" s="103"/>
      <c r="O667" s="103"/>
      <c r="P667" s="103"/>
      <c r="Q667" s="103"/>
      <c r="R667" s="103"/>
      <c r="S667" s="103"/>
      <c r="T667" s="103"/>
      <c r="U667" s="103"/>
      <c r="V667" s="103"/>
      <c r="W667" s="103"/>
      <c r="X667" s="103"/>
      <c r="Y667" s="103"/>
      <c r="Z667" s="103"/>
      <c r="AA667" s="103">
        <v>180</v>
      </c>
      <c r="AB667" s="103"/>
      <c r="AC667" s="103"/>
      <c r="AD667" s="103"/>
      <c r="AE667" s="103"/>
      <c r="AF667" s="103"/>
      <c r="AG667" s="103"/>
      <c r="AH667" s="103"/>
      <c r="AI667" s="103"/>
      <c r="AJ667" s="103"/>
      <c r="AK667" s="103"/>
      <c r="AL667" s="103"/>
      <c r="AM667" s="103"/>
      <c r="AN667" s="103"/>
      <c r="AO667" s="103"/>
      <c r="AP667" s="103"/>
      <c r="AQ667" s="103"/>
      <c r="AR667" s="103"/>
      <c r="AS667" s="103"/>
      <c r="AT667" s="103">
        <v>180</v>
      </c>
      <c r="AU667" s="103"/>
      <c r="AV667" s="103"/>
      <c r="AW667" s="104" t="str">
        <f>HYPERLINK("http://www.openstreetmap.org/?mlat=35.7776&amp;mlon=43.5754&amp;zoom=12#map=12/35.7776/43.5754","Maplink1")</f>
        <v>Maplink1</v>
      </c>
      <c r="AX667" s="104" t="str">
        <f>HYPERLINK("https://www.google.iq/maps/search/+35.7776,43.5754/@35.7776,43.5754,14z?hl=en","Maplink2")</f>
        <v>Maplink2</v>
      </c>
      <c r="AY667" s="104" t="str">
        <f>HYPERLINK("http://www.bing.com/maps/?lvl=14&amp;sty=h&amp;cp=35.7776~43.5754&amp;sp=point.35.7776_43.5754","Maplink3")</f>
        <v>Maplink3</v>
      </c>
    </row>
    <row r="668" spans="1:51" x14ac:dyDescent="0.2">
      <c r="A668" s="102">
        <v>11980</v>
      </c>
      <c r="B668" s="103" t="s">
        <v>33</v>
      </c>
      <c r="C668" s="103" t="s">
        <v>94</v>
      </c>
      <c r="D668" s="103" t="s">
        <v>1512</v>
      </c>
      <c r="E668" s="103" t="s">
        <v>1513</v>
      </c>
      <c r="F668" s="103">
        <v>35.483699999999999</v>
      </c>
      <c r="G668" s="103">
        <v>43.508899999999997</v>
      </c>
      <c r="H668" s="102">
        <v>20</v>
      </c>
      <c r="I668" s="102">
        <v>120</v>
      </c>
      <c r="J668" s="103"/>
      <c r="K668" s="103"/>
      <c r="L668" s="103"/>
      <c r="M668" s="103">
        <v>20</v>
      </c>
      <c r="N668" s="103"/>
      <c r="O668" s="103"/>
      <c r="P668" s="103"/>
      <c r="Q668" s="103"/>
      <c r="R668" s="103"/>
      <c r="S668" s="103"/>
      <c r="T668" s="103"/>
      <c r="U668" s="103"/>
      <c r="V668" s="103"/>
      <c r="W668" s="103"/>
      <c r="X668" s="103"/>
      <c r="Y668" s="103"/>
      <c r="Z668" s="103"/>
      <c r="AA668" s="103">
        <v>13</v>
      </c>
      <c r="AB668" s="103"/>
      <c r="AC668" s="103"/>
      <c r="AD668" s="103"/>
      <c r="AE668" s="103"/>
      <c r="AF668" s="103"/>
      <c r="AG668" s="103">
        <v>7</v>
      </c>
      <c r="AH668" s="103"/>
      <c r="AI668" s="103"/>
      <c r="AJ668" s="103"/>
      <c r="AK668" s="103"/>
      <c r="AL668" s="103"/>
      <c r="AM668" s="103"/>
      <c r="AN668" s="103"/>
      <c r="AO668" s="103">
        <v>20</v>
      </c>
      <c r="AP668" s="103"/>
      <c r="AQ668" s="103"/>
      <c r="AR668" s="103"/>
      <c r="AS668" s="103"/>
      <c r="AT668" s="103"/>
      <c r="AU668" s="103"/>
      <c r="AV668" s="103"/>
      <c r="AW668" s="104" t="str">
        <f>HYPERLINK("http://www.openstreetmap.org/?mlat=35.4837&amp;mlon=43.5089&amp;zoom=12#map=12/35.4837/43.5089","Maplink1")</f>
        <v>Maplink1</v>
      </c>
      <c r="AX668" s="104" t="str">
        <f>HYPERLINK("https://www.google.iq/maps/search/+35.4837,43.5089/@35.4837,43.5089,14z?hl=en","Maplink2")</f>
        <v>Maplink2</v>
      </c>
      <c r="AY668" s="104" t="str">
        <f>HYPERLINK("http://www.bing.com/maps/?lvl=14&amp;sty=h&amp;cp=35.4837~43.5089&amp;sp=point.35.4837_43.5089","Maplink3")</f>
        <v>Maplink3</v>
      </c>
    </row>
    <row r="669" spans="1:51" x14ac:dyDescent="0.2">
      <c r="A669" s="102">
        <v>13430</v>
      </c>
      <c r="B669" s="103" t="s">
        <v>33</v>
      </c>
      <c r="C669" s="103" t="s">
        <v>94</v>
      </c>
      <c r="D669" s="103" t="s">
        <v>1514</v>
      </c>
      <c r="E669" s="103" t="s">
        <v>1515</v>
      </c>
      <c r="F669" s="103">
        <v>35.501199999999997</v>
      </c>
      <c r="G669" s="103">
        <v>43.469200000000001</v>
      </c>
      <c r="H669" s="102">
        <v>44</v>
      </c>
      <c r="I669" s="102">
        <v>264</v>
      </c>
      <c r="J669" s="103"/>
      <c r="K669" s="103"/>
      <c r="L669" s="103"/>
      <c r="M669" s="103">
        <v>44</v>
      </c>
      <c r="N669" s="103"/>
      <c r="O669" s="103"/>
      <c r="P669" s="103"/>
      <c r="Q669" s="103"/>
      <c r="R669" s="103"/>
      <c r="S669" s="103"/>
      <c r="T669" s="103"/>
      <c r="U669" s="103"/>
      <c r="V669" s="103"/>
      <c r="W669" s="103"/>
      <c r="X669" s="103"/>
      <c r="Y669" s="103"/>
      <c r="Z669" s="103"/>
      <c r="AA669" s="103">
        <v>21</v>
      </c>
      <c r="AB669" s="103"/>
      <c r="AC669" s="103"/>
      <c r="AD669" s="103"/>
      <c r="AE669" s="103"/>
      <c r="AF669" s="103"/>
      <c r="AG669" s="103">
        <v>23</v>
      </c>
      <c r="AH669" s="103"/>
      <c r="AI669" s="103"/>
      <c r="AJ669" s="103"/>
      <c r="AK669" s="103"/>
      <c r="AL669" s="103"/>
      <c r="AM669" s="103"/>
      <c r="AN669" s="103"/>
      <c r="AO669" s="103">
        <v>44</v>
      </c>
      <c r="AP669" s="103"/>
      <c r="AQ669" s="103"/>
      <c r="AR669" s="103"/>
      <c r="AS669" s="103"/>
      <c r="AT669" s="103"/>
      <c r="AU669" s="103"/>
      <c r="AV669" s="103"/>
      <c r="AW669" s="104" t="str">
        <f>HYPERLINK("http://www.openstreetmap.org/?mlat=35.5012&amp;mlon=43.4692&amp;zoom=12#map=12/35.5012/43.4692","Maplink1")</f>
        <v>Maplink1</v>
      </c>
      <c r="AX669" s="104" t="str">
        <f>HYPERLINK("https://www.google.iq/maps/search/+35.5012,43.4692/@35.5012,43.4692,14z?hl=en","Maplink2")</f>
        <v>Maplink2</v>
      </c>
      <c r="AY669" s="104" t="str">
        <f>HYPERLINK("http://www.bing.com/maps/?lvl=14&amp;sty=h&amp;cp=35.5012~43.4692&amp;sp=point.35.5012_43.4692","Maplink3")</f>
        <v>Maplink3</v>
      </c>
    </row>
    <row r="670" spans="1:51" x14ac:dyDescent="0.2">
      <c r="A670" s="102">
        <v>13486</v>
      </c>
      <c r="B670" s="103" t="s">
        <v>33</v>
      </c>
      <c r="C670" s="103" t="s">
        <v>94</v>
      </c>
      <c r="D670" s="103" t="s">
        <v>1516</v>
      </c>
      <c r="E670" s="103" t="s">
        <v>1517</v>
      </c>
      <c r="F670" s="103">
        <v>35.540039999999998</v>
      </c>
      <c r="G670" s="103">
        <v>43.612699999999997</v>
      </c>
      <c r="H670" s="102">
        <v>5</v>
      </c>
      <c r="I670" s="102">
        <v>30</v>
      </c>
      <c r="J670" s="103"/>
      <c r="K670" s="103"/>
      <c r="L670" s="103"/>
      <c r="M670" s="103">
        <v>5</v>
      </c>
      <c r="N670" s="103"/>
      <c r="O670" s="103"/>
      <c r="P670" s="103"/>
      <c r="Q670" s="103"/>
      <c r="R670" s="103"/>
      <c r="S670" s="103"/>
      <c r="T670" s="103"/>
      <c r="U670" s="103"/>
      <c r="V670" s="103"/>
      <c r="W670" s="103"/>
      <c r="X670" s="103"/>
      <c r="Y670" s="103"/>
      <c r="Z670" s="103"/>
      <c r="AA670" s="103"/>
      <c r="AB670" s="103"/>
      <c r="AC670" s="103"/>
      <c r="AD670" s="103"/>
      <c r="AE670" s="103"/>
      <c r="AF670" s="103"/>
      <c r="AG670" s="103">
        <v>5</v>
      </c>
      <c r="AH670" s="103"/>
      <c r="AI670" s="103"/>
      <c r="AJ670" s="103"/>
      <c r="AK670" s="103"/>
      <c r="AL670" s="103"/>
      <c r="AM670" s="103"/>
      <c r="AN670" s="103"/>
      <c r="AO670" s="103">
        <v>5</v>
      </c>
      <c r="AP670" s="103"/>
      <c r="AQ670" s="103"/>
      <c r="AR670" s="103"/>
      <c r="AS670" s="103"/>
      <c r="AT670" s="103"/>
      <c r="AU670" s="103"/>
      <c r="AV670" s="103"/>
      <c r="AW670" s="104" t="str">
        <f>HYPERLINK("http://www.openstreetmap.org/?mlat=35.54&amp;mlon=43.6127&amp;zoom=12#map=12/35.54/43.6127","Maplink1")</f>
        <v>Maplink1</v>
      </c>
      <c r="AX670" s="104" t="str">
        <f>HYPERLINK("https://www.google.iq/maps/search/+35.54,43.6127/@35.54,43.6127,14z?hl=en","Maplink2")</f>
        <v>Maplink2</v>
      </c>
      <c r="AY670" s="104" t="str">
        <f>HYPERLINK("http://www.bing.com/maps/?lvl=14&amp;sty=h&amp;cp=35.54~43.6127&amp;sp=point.35.54_43.6127","Maplink3")</f>
        <v>Maplink3</v>
      </c>
    </row>
    <row r="671" spans="1:51" x14ac:dyDescent="0.2">
      <c r="A671" s="102">
        <v>13429</v>
      </c>
      <c r="B671" s="103" t="s">
        <v>33</v>
      </c>
      <c r="C671" s="103" t="s">
        <v>94</v>
      </c>
      <c r="D671" s="103" t="s">
        <v>1518</v>
      </c>
      <c r="E671" s="103" t="s">
        <v>1519</v>
      </c>
      <c r="F671" s="103">
        <v>35.664000000000001</v>
      </c>
      <c r="G671" s="103">
        <v>43.723799999999997</v>
      </c>
      <c r="H671" s="102">
        <v>9</v>
      </c>
      <c r="I671" s="102">
        <v>54</v>
      </c>
      <c r="J671" s="103"/>
      <c r="K671" s="103"/>
      <c r="L671" s="103"/>
      <c r="M671" s="103">
        <v>9</v>
      </c>
      <c r="N671" s="103"/>
      <c r="O671" s="103"/>
      <c r="P671" s="103"/>
      <c r="Q671" s="103"/>
      <c r="R671" s="103"/>
      <c r="S671" s="103"/>
      <c r="T671" s="103"/>
      <c r="U671" s="103"/>
      <c r="V671" s="103"/>
      <c r="W671" s="103"/>
      <c r="X671" s="103"/>
      <c r="Y671" s="103"/>
      <c r="Z671" s="103"/>
      <c r="AA671" s="103">
        <v>9</v>
      </c>
      <c r="AB671" s="103"/>
      <c r="AC671" s="103"/>
      <c r="AD671" s="103"/>
      <c r="AE671" s="103"/>
      <c r="AF671" s="103"/>
      <c r="AG671" s="103"/>
      <c r="AH671" s="103"/>
      <c r="AI671" s="103"/>
      <c r="AJ671" s="103"/>
      <c r="AK671" s="103"/>
      <c r="AL671" s="103"/>
      <c r="AM671" s="103"/>
      <c r="AN671" s="103"/>
      <c r="AO671" s="103">
        <v>9</v>
      </c>
      <c r="AP671" s="103"/>
      <c r="AQ671" s="103"/>
      <c r="AR671" s="103"/>
      <c r="AS671" s="103"/>
      <c r="AT671" s="103"/>
      <c r="AU671" s="103"/>
      <c r="AV671" s="103"/>
      <c r="AW671" s="104" t="str">
        <f>HYPERLINK("http://www.openstreetmap.org/?mlat=35.664&amp;mlon=43.7238&amp;zoom=12#map=12/35.664/43.7238","Maplink1")</f>
        <v>Maplink1</v>
      </c>
      <c r="AX671" s="104" t="str">
        <f>HYPERLINK("https://www.google.iq/maps/search/+35.664,43.7238/@35.664,43.7238,14z?hl=en","Maplink2")</f>
        <v>Maplink2</v>
      </c>
      <c r="AY671" s="104" t="str">
        <f>HYPERLINK("http://www.bing.com/maps/?lvl=14&amp;sty=h&amp;cp=35.664~43.7238&amp;sp=point.35.664_43.7238","Maplink3")</f>
        <v>Maplink3</v>
      </c>
    </row>
    <row r="672" spans="1:51" x14ac:dyDescent="0.2">
      <c r="A672" s="102">
        <v>13268</v>
      </c>
      <c r="B672" s="103" t="s">
        <v>33</v>
      </c>
      <c r="C672" s="103" t="s">
        <v>94</v>
      </c>
      <c r="D672" s="103" t="s">
        <v>1520</v>
      </c>
      <c r="E672" s="103" t="s">
        <v>1521</v>
      </c>
      <c r="F672" s="103">
        <v>35.672199999999997</v>
      </c>
      <c r="G672" s="103">
        <v>43.700699999999998</v>
      </c>
      <c r="H672" s="102">
        <v>3</v>
      </c>
      <c r="I672" s="102">
        <v>18</v>
      </c>
      <c r="J672" s="103"/>
      <c r="K672" s="103"/>
      <c r="L672" s="103"/>
      <c r="M672" s="103">
        <v>3</v>
      </c>
      <c r="N672" s="103"/>
      <c r="O672" s="103"/>
      <c r="P672" s="103"/>
      <c r="Q672" s="103"/>
      <c r="R672" s="103"/>
      <c r="S672" s="103"/>
      <c r="T672" s="103"/>
      <c r="U672" s="103"/>
      <c r="V672" s="103"/>
      <c r="W672" s="103"/>
      <c r="X672" s="103"/>
      <c r="Y672" s="103"/>
      <c r="Z672" s="103"/>
      <c r="AA672" s="103">
        <v>3</v>
      </c>
      <c r="AB672" s="103"/>
      <c r="AC672" s="103"/>
      <c r="AD672" s="103"/>
      <c r="AE672" s="103"/>
      <c r="AF672" s="103"/>
      <c r="AG672" s="103"/>
      <c r="AH672" s="103"/>
      <c r="AI672" s="103"/>
      <c r="AJ672" s="103"/>
      <c r="AK672" s="103"/>
      <c r="AL672" s="103"/>
      <c r="AM672" s="103"/>
      <c r="AN672" s="103"/>
      <c r="AO672" s="103">
        <v>3</v>
      </c>
      <c r="AP672" s="103"/>
      <c r="AQ672" s="103"/>
      <c r="AR672" s="103"/>
      <c r="AS672" s="103"/>
      <c r="AT672" s="103"/>
      <c r="AU672" s="103"/>
      <c r="AV672" s="103"/>
      <c r="AW672" s="104" t="str">
        <f>HYPERLINK("http://www.openstreetmap.org/?mlat=35.6722&amp;mlon=43.7007&amp;zoom=12#map=12/35.6722/43.7007","Maplink1")</f>
        <v>Maplink1</v>
      </c>
      <c r="AX672" s="104" t="str">
        <f>HYPERLINK("https://www.google.iq/maps/search/+35.6722,43.7007/@35.6722,43.7007,14z?hl=en","Maplink2")</f>
        <v>Maplink2</v>
      </c>
      <c r="AY672" s="104" t="str">
        <f>HYPERLINK("http://www.bing.com/maps/?lvl=14&amp;sty=h&amp;cp=35.6722~43.7007&amp;sp=point.35.6722_43.7007","Maplink3")</f>
        <v>Maplink3</v>
      </c>
    </row>
    <row r="673" spans="1:51" x14ac:dyDescent="0.2">
      <c r="A673" s="102">
        <v>13275</v>
      </c>
      <c r="B673" s="103" t="s">
        <v>33</v>
      </c>
      <c r="C673" s="103" t="s">
        <v>94</v>
      </c>
      <c r="D673" s="103" t="s">
        <v>1452</v>
      </c>
      <c r="E673" s="103" t="s">
        <v>1453</v>
      </c>
      <c r="F673" s="103">
        <v>35.833599999999997</v>
      </c>
      <c r="G673" s="103">
        <v>43.387993199999997</v>
      </c>
      <c r="H673" s="102">
        <v>360</v>
      </c>
      <c r="I673" s="102">
        <v>2160</v>
      </c>
      <c r="J673" s="103"/>
      <c r="K673" s="103"/>
      <c r="L673" s="103"/>
      <c r="M673" s="103">
        <v>360</v>
      </c>
      <c r="N673" s="103"/>
      <c r="O673" s="103"/>
      <c r="P673" s="103"/>
      <c r="Q673" s="103"/>
      <c r="R673" s="103"/>
      <c r="S673" s="103"/>
      <c r="T673" s="103"/>
      <c r="U673" s="103"/>
      <c r="V673" s="103"/>
      <c r="W673" s="103"/>
      <c r="X673" s="103"/>
      <c r="Y673" s="103"/>
      <c r="Z673" s="103"/>
      <c r="AA673" s="103">
        <v>120</v>
      </c>
      <c r="AB673" s="103"/>
      <c r="AC673" s="103">
        <v>70</v>
      </c>
      <c r="AD673" s="103"/>
      <c r="AE673" s="103"/>
      <c r="AF673" s="103"/>
      <c r="AG673" s="103">
        <v>90</v>
      </c>
      <c r="AH673" s="103"/>
      <c r="AI673" s="103">
        <v>80</v>
      </c>
      <c r="AJ673" s="103"/>
      <c r="AK673" s="103"/>
      <c r="AL673" s="103"/>
      <c r="AM673" s="103"/>
      <c r="AN673" s="103">
        <v>40</v>
      </c>
      <c r="AO673" s="103"/>
      <c r="AP673" s="103">
        <v>170</v>
      </c>
      <c r="AQ673" s="103"/>
      <c r="AR673" s="103"/>
      <c r="AS673" s="103"/>
      <c r="AT673" s="103">
        <v>150</v>
      </c>
      <c r="AU673" s="103"/>
      <c r="AV673" s="103"/>
      <c r="AW673" s="104" t="str">
        <f>HYPERLINK("http://www.openstreetmap.org/?mlat=35.8336&amp;mlon=43.388&amp;zoom=12#map=12/35.8336/43.388","Maplink1")</f>
        <v>Maplink1</v>
      </c>
      <c r="AX673" s="104" t="str">
        <f>HYPERLINK("https://www.google.iq/maps/search/+35.8336,43.388/@35.8336,43.388,14z?hl=en","Maplink2")</f>
        <v>Maplink2</v>
      </c>
      <c r="AY673" s="104" t="str">
        <f>HYPERLINK("http://www.bing.com/maps/?lvl=14&amp;sty=h&amp;cp=35.8336~43.388&amp;sp=point.35.8336_43.388","Maplink3")</f>
        <v>Maplink3</v>
      </c>
    </row>
    <row r="674" spans="1:51" x14ac:dyDescent="0.2">
      <c r="A674" s="102">
        <v>13352</v>
      </c>
      <c r="B674" s="103" t="s">
        <v>33</v>
      </c>
      <c r="C674" s="103" t="s">
        <v>94</v>
      </c>
      <c r="D674" s="103" t="s">
        <v>1480</v>
      </c>
      <c r="E674" s="103" t="s">
        <v>1481</v>
      </c>
      <c r="F674" s="103">
        <v>36.043816</v>
      </c>
      <c r="G674" s="103">
        <v>43.4990613035</v>
      </c>
      <c r="H674" s="102">
        <v>2226</v>
      </c>
      <c r="I674" s="102">
        <v>13356</v>
      </c>
      <c r="J674" s="103"/>
      <c r="K674" s="103"/>
      <c r="L674" s="103"/>
      <c r="M674" s="103">
        <v>2226</v>
      </c>
      <c r="N674" s="103"/>
      <c r="O674" s="103"/>
      <c r="P674" s="103"/>
      <c r="Q674" s="103"/>
      <c r="R674" s="103"/>
      <c r="S674" s="103"/>
      <c r="T674" s="103"/>
      <c r="U674" s="103"/>
      <c r="V674" s="103"/>
      <c r="W674" s="103"/>
      <c r="X674" s="103"/>
      <c r="Y674" s="103"/>
      <c r="Z674" s="103"/>
      <c r="AA674" s="103">
        <v>1670</v>
      </c>
      <c r="AB674" s="103"/>
      <c r="AC674" s="103">
        <v>480</v>
      </c>
      <c r="AD674" s="103"/>
      <c r="AE674" s="103"/>
      <c r="AF674" s="103"/>
      <c r="AG674" s="103">
        <v>76</v>
      </c>
      <c r="AH674" s="103"/>
      <c r="AI674" s="103"/>
      <c r="AJ674" s="103"/>
      <c r="AK674" s="103"/>
      <c r="AL674" s="103"/>
      <c r="AM674" s="103"/>
      <c r="AN674" s="103"/>
      <c r="AO674" s="103">
        <v>1451</v>
      </c>
      <c r="AP674" s="103"/>
      <c r="AQ674" s="103"/>
      <c r="AR674" s="103"/>
      <c r="AS674" s="103"/>
      <c r="AT674" s="103">
        <v>775</v>
      </c>
      <c r="AU674" s="103"/>
      <c r="AV674" s="103"/>
      <c r="AW674" s="104" t="str">
        <f>HYPERLINK("http://www.openstreetmap.org/?mlat=36.0438&amp;mlon=43.4991&amp;zoom=12#map=12/36.0438/43.4991","Maplink1")</f>
        <v>Maplink1</v>
      </c>
      <c r="AX674" s="104" t="str">
        <f>HYPERLINK("https://www.google.iq/maps/search/+36.0438,43.4991/@36.0438,43.4991,14z?hl=en","Maplink2")</f>
        <v>Maplink2</v>
      </c>
      <c r="AY674" s="104" t="str">
        <f>HYPERLINK("http://www.bing.com/maps/?lvl=14&amp;sty=h&amp;cp=36.0438~43.4991&amp;sp=point.36.0438_43.4991","Maplink3")</f>
        <v>Maplink3</v>
      </c>
    </row>
    <row r="675" spans="1:51" x14ac:dyDescent="0.2">
      <c r="A675" s="102">
        <v>13529</v>
      </c>
      <c r="B675" s="103" t="s">
        <v>33</v>
      </c>
      <c r="C675" s="103" t="s">
        <v>94</v>
      </c>
      <c r="D675" s="103" t="s">
        <v>1506</v>
      </c>
      <c r="E675" s="103" t="s">
        <v>1507</v>
      </c>
      <c r="F675" s="103">
        <v>35.6447</v>
      </c>
      <c r="G675" s="103">
        <v>43.7012</v>
      </c>
      <c r="H675" s="102">
        <v>23</v>
      </c>
      <c r="I675" s="102">
        <v>138</v>
      </c>
      <c r="J675" s="103"/>
      <c r="K675" s="103"/>
      <c r="L675" s="103"/>
      <c r="M675" s="103">
        <v>23</v>
      </c>
      <c r="N675" s="103"/>
      <c r="O675" s="103"/>
      <c r="P675" s="103"/>
      <c r="Q675" s="103"/>
      <c r="R675" s="103"/>
      <c r="S675" s="103"/>
      <c r="T675" s="103"/>
      <c r="U675" s="103"/>
      <c r="V675" s="103"/>
      <c r="W675" s="103"/>
      <c r="X675" s="103"/>
      <c r="Y675" s="103"/>
      <c r="Z675" s="103"/>
      <c r="AA675" s="103">
        <v>23</v>
      </c>
      <c r="AB675" s="103"/>
      <c r="AC675" s="103"/>
      <c r="AD675" s="103"/>
      <c r="AE675" s="103"/>
      <c r="AF675" s="103"/>
      <c r="AG675" s="103"/>
      <c r="AH675" s="103"/>
      <c r="AI675" s="103"/>
      <c r="AJ675" s="103"/>
      <c r="AK675" s="103"/>
      <c r="AL675" s="103"/>
      <c r="AM675" s="103"/>
      <c r="AN675" s="103"/>
      <c r="AO675" s="103">
        <v>23</v>
      </c>
      <c r="AP675" s="103"/>
      <c r="AQ675" s="103"/>
      <c r="AR675" s="103"/>
      <c r="AS675" s="103"/>
      <c r="AT675" s="103"/>
      <c r="AU675" s="103"/>
      <c r="AV675" s="103"/>
      <c r="AW675" s="104" t="str">
        <f>HYPERLINK("http://www.openstreetmap.org/?mlat=35.6447&amp;mlon=43.7012&amp;zoom=12#map=12/35.6447/43.7012","Maplink1")</f>
        <v>Maplink1</v>
      </c>
      <c r="AX675" s="104" t="str">
        <f>HYPERLINK("https://www.google.iq/maps/search/+35.6447,43.7012/@35.6447,43.7012,14z?hl=en","Maplink2")</f>
        <v>Maplink2</v>
      </c>
      <c r="AY675" s="104" t="str">
        <f>HYPERLINK("http://www.bing.com/maps/?lvl=14&amp;sty=h&amp;cp=35.6447~43.7012&amp;sp=point.35.6447_43.7012","Maplink3")</f>
        <v>Maplink3</v>
      </c>
    </row>
    <row r="676" spans="1:51" x14ac:dyDescent="0.2">
      <c r="A676" s="102">
        <v>13525</v>
      </c>
      <c r="B676" s="103" t="s">
        <v>33</v>
      </c>
      <c r="C676" s="103" t="s">
        <v>94</v>
      </c>
      <c r="D676" s="103" t="s">
        <v>1522</v>
      </c>
      <c r="E676" s="103" t="s">
        <v>1523</v>
      </c>
      <c r="F676" s="103">
        <v>35.621200000000002</v>
      </c>
      <c r="G676" s="103">
        <v>43.596699999999998</v>
      </c>
      <c r="H676" s="102">
        <v>2</v>
      </c>
      <c r="I676" s="102">
        <v>12</v>
      </c>
      <c r="J676" s="103"/>
      <c r="K676" s="103"/>
      <c r="L676" s="103"/>
      <c r="M676" s="103">
        <v>2</v>
      </c>
      <c r="N676" s="103"/>
      <c r="O676" s="103"/>
      <c r="P676" s="103"/>
      <c r="Q676" s="103"/>
      <c r="R676" s="103"/>
      <c r="S676" s="103"/>
      <c r="T676" s="103"/>
      <c r="U676" s="103"/>
      <c r="V676" s="103"/>
      <c r="W676" s="103"/>
      <c r="X676" s="103"/>
      <c r="Y676" s="103"/>
      <c r="Z676" s="103"/>
      <c r="AA676" s="103">
        <v>2</v>
      </c>
      <c r="AB676" s="103"/>
      <c r="AC676" s="103"/>
      <c r="AD676" s="103"/>
      <c r="AE676" s="103"/>
      <c r="AF676" s="103"/>
      <c r="AG676" s="103"/>
      <c r="AH676" s="103"/>
      <c r="AI676" s="103"/>
      <c r="AJ676" s="103"/>
      <c r="AK676" s="103"/>
      <c r="AL676" s="103"/>
      <c r="AM676" s="103"/>
      <c r="AN676" s="103"/>
      <c r="AO676" s="103">
        <v>2</v>
      </c>
      <c r="AP676" s="103"/>
      <c r="AQ676" s="103"/>
      <c r="AR676" s="103"/>
      <c r="AS676" s="103"/>
      <c r="AT676" s="103"/>
      <c r="AU676" s="103"/>
      <c r="AV676" s="103"/>
      <c r="AW676" s="104" t="str">
        <f>HYPERLINK("http://www.openstreetmap.org/?mlat=35.6212&amp;mlon=43.5967&amp;zoom=12#map=12/35.6212/43.5967","Maplink1")</f>
        <v>Maplink1</v>
      </c>
      <c r="AX676" s="104" t="str">
        <f>HYPERLINK("https://www.google.iq/maps/search/+35.6212,43.5967/@35.6212,43.5967,14z?hl=en","Maplink2")</f>
        <v>Maplink2</v>
      </c>
      <c r="AY676" s="104" t="str">
        <f>HYPERLINK("http://www.bing.com/maps/?lvl=14&amp;sty=h&amp;cp=35.6212~43.5967&amp;sp=point.35.6212_43.5967","Maplink3")</f>
        <v>Maplink3</v>
      </c>
    </row>
    <row r="677" spans="1:51" x14ac:dyDescent="0.2">
      <c r="A677" s="102">
        <v>13675</v>
      </c>
      <c r="B677" s="103" t="s">
        <v>33</v>
      </c>
      <c r="C677" s="103" t="s">
        <v>94</v>
      </c>
      <c r="D677" s="103" t="s">
        <v>1470</v>
      </c>
      <c r="E677" s="103" t="s">
        <v>1471</v>
      </c>
      <c r="F677" s="103">
        <v>35.775642910000002</v>
      </c>
      <c r="G677" s="103">
        <v>43.584227525800003</v>
      </c>
      <c r="H677" s="102">
        <v>650</v>
      </c>
      <c r="I677" s="102">
        <v>3900</v>
      </c>
      <c r="J677" s="103"/>
      <c r="K677" s="103"/>
      <c r="L677" s="103"/>
      <c r="M677" s="103">
        <v>650</v>
      </c>
      <c r="N677" s="103"/>
      <c r="O677" s="103"/>
      <c r="P677" s="103"/>
      <c r="Q677" s="103"/>
      <c r="R677" s="103"/>
      <c r="S677" s="103"/>
      <c r="T677" s="103"/>
      <c r="U677" s="103"/>
      <c r="V677" s="103"/>
      <c r="W677" s="103"/>
      <c r="X677" s="103"/>
      <c r="Y677" s="103"/>
      <c r="Z677" s="103"/>
      <c r="AA677" s="103">
        <v>650</v>
      </c>
      <c r="AB677" s="103"/>
      <c r="AC677" s="103"/>
      <c r="AD677" s="103"/>
      <c r="AE677" s="103"/>
      <c r="AF677" s="103"/>
      <c r="AG677" s="103"/>
      <c r="AH677" s="103"/>
      <c r="AI677" s="103"/>
      <c r="AJ677" s="103"/>
      <c r="AK677" s="103"/>
      <c r="AL677" s="103"/>
      <c r="AM677" s="103"/>
      <c r="AN677" s="103"/>
      <c r="AO677" s="103"/>
      <c r="AP677" s="103"/>
      <c r="AQ677" s="103"/>
      <c r="AR677" s="103"/>
      <c r="AS677" s="103"/>
      <c r="AT677" s="103">
        <v>650</v>
      </c>
      <c r="AU677" s="103"/>
      <c r="AV677" s="103"/>
      <c r="AW677" s="104" t="str">
        <f>HYPERLINK("http://www.openstreetmap.org/?mlat=35.7756&amp;mlon=43.5842&amp;zoom=12#map=12/35.7756/43.5842","Maplink1")</f>
        <v>Maplink1</v>
      </c>
      <c r="AX677" s="104" t="str">
        <f>HYPERLINK("https://www.google.iq/maps/search/+35.7756,43.5842/@35.7756,43.5842,14z?hl=en","Maplink2")</f>
        <v>Maplink2</v>
      </c>
      <c r="AY677" s="104" t="str">
        <f>HYPERLINK("http://www.bing.com/maps/?lvl=14&amp;sty=h&amp;cp=35.7756~43.5842&amp;sp=point.35.7756_43.5842","Maplink3")</f>
        <v>Maplink3</v>
      </c>
    </row>
    <row r="678" spans="1:51" x14ac:dyDescent="0.2">
      <c r="A678" s="102">
        <v>13414</v>
      </c>
      <c r="B678" s="103" t="s">
        <v>33</v>
      </c>
      <c r="C678" s="103" t="s">
        <v>94</v>
      </c>
      <c r="D678" s="103" t="s">
        <v>1424</v>
      </c>
      <c r="E678" s="103" t="s">
        <v>1425</v>
      </c>
      <c r="F678" s="103">
        <v>35.493699999999997</v>
      </c>
      <c r="G678" s="103">
        <v>43.445999999999998</v>
      </c>
      <c r="H678" s="102">
        <v>15</v>
      </c>
      <c r="I678" s="102">
        <v>90</v>
      </c>
      <c r="J678" s="103"/>
      <c r="K678" s="103"/>
      <c r="L678" s="103"/>
      <c r="M678" s="103">
        <v>15</v>
      </c>
      <c r="N678" s="103"/>
      <c r="O678" s="103"/>
      <c r="P678" s="103"/>
      <c r="Q678" s="103"/>
      <c r="R678" s="103"/>
      <c r="S678" s="103"/>
      <c r="T678" s="103"/>
      <c r="U678" s="103"/>
      <c r="V678" s="103"/>
      <c r="W678" s="103"/>
      <c r="X678" s="103"/>
      <c r="Y678" s="103"/>
      <c r="Z678" s="103"/>
      <c r="AA678" s="103"/>
      <c r="AB678" s="103"/>
      <c r="AC678" s="103"/>
      <c r="AD678" s="103"/>
      <c r="AE678" s="103"/>
      <c r="AF678" s="103"/>
      <c r="AG678" s="103">
        <v>15</v>
      </c>
      <c r="AH678" s="103"/>
      <c r="AI678" s="103"/>
      <c r="AJ678" s="103"/>
      <c r="AK678" s="103"/>
      <c r="AL678" s="103"/>
      <c r="AM678" s="103"/>
      <c r="AN678" s="103"/>
      <c r="AO678" s="103">
        <v>15</v>
      </c>
      <c r="AP678" s="103"/>
      <c r="AQ678" s="103"/>
      <c r="AR678" s="103"/>
      <c r="AS678" s="103"/>
      <c r="AT678" s="103"/>
      <c r="AU678" s="103"/>
      <c r="AV678" s="103"/>
      <c r="AW678" s="104" t="str">
        <f>HYPERLINK("http://www.openstreetmap.org/?mlat=35.4937&amp;mlon=43.446&amp;zoom=12#map=12/35.4937/43.446","Maplink1")</f>
        <v>Maplink1</v>
      </c>
      <c r="AX678" s="104" t="str">
        <f>HYPERLINK("https://www.google.iq/maps/search/+35.4937,43.446/@35.4937,43.446,14z?hl=en","Maplink2")</f>
        <v>Maplink2</v>
      </c>
      <c r="AY678" s="104" t="str">
        <f>HYPERLINK("http://www.bing.com/maps/?lvl=14&amp;sty=h&amp;cp=35.4937~43.446&amp;sp=point.35.4937_43.446","Maplink3")</f>
        <v>Maplink3</v>
      </c>
    </row>
    <row r="679" spans="1:51" x14ac:dyDescent="0.2">
      <c r="A679" s="102">
        <v>12596</v>
      </c>
      <c r="B679" s="103" t="s">
        <v>33</v>
      </c>
      <c r="C679" s="103" t="s">
        <v>94</v>
      </c>
      <c r="D679" s="103" t="s">
        <v>1426</v>
      </c>
      <c r="E679" s="103" t="s">
        <v>1427</v>
      </c>
      <c r="F679" s="103">
        <v>35.625500000000002</v>
      </c>
      <c r="G679" s="103">
        <v>43.547699999999999</v>
      </c>
      <c r="H679" s="102">
        <v>7</v>
      </c>
      <c r="I679" s="102">
        <v>42</v>
      </c>
      <c r="J679" s="103"/>
      <c r="K679" s="103"/>
      <c r="L679" s="103"/>
      <c r="M679" s="103">
        <v>7</v>
      </c>
      <c r="N679" s="103"/>
      <c r="O679" s="103"/>
      <c r="P679" s="103"/>
      <c r="Q679" s="103"/>
      <c r="R679" s="103"/>
      <c r="S679" s="103"/>
      <c r="T679" s="103"/>
      <c r="U679" s="103"/>
      <c r="V679" s="103"/>
      <c r="W679" s="103"/>
      <c r="X679" s="103"/>
      <c r="Y679" s="103"/>
      <c r="Z679" s="103"/>
      <c r="AA679" s="103"/>
      <c r="AB679" s="103"/>
      <c r="AC679" s="103"/>
      <c r="AD679" s="103"/>
      <c r="AE679" s="103"/>
      <c r="AF679" s="103"/>
      <c r="AG679" s="103">
        <v>7</v>
      </c>
      <c r="AH679" s="103"/>
      <c r="AI679" s="103"/>
      <c r="AJ679" s="103"/>
      <c r="AK679" s="103"/>
      <c r="AL679" s="103"/>
      <c r="AM679" s="103"/>
      <c r="AN679" s="103"/>
      <c r="AO679" s="103">
        <v>7</v>
      </c>
      <c r="AP679" s="103"/>
      <c r="AQ679" s="103"/>
      <c r="AR679" s="103"/>
      <c r="AS679" s="103"/>
      <c r="AT679" s="103"/>
      <c r="AU679" s="103"/>
      <c r="AV679" s="103"/>
      <c r="AW679" s="104" t="str">
        <f>HYPERLINK("http://www.openstreetmap.org/?mlat=35.6255&amp;mlon=43.5477&amp;zoom=12#map=12/35.6255/43.5477","Maplink1")</f>
        <v>Maplink1</v>
      </c>
      <c r="AX679" s="104" t="str">
        <f>HYPERLINK("https://www.google.iq/maps/search/+35.6255,43.5477/@35.6255,43.5477,14z?hl=en","Maplink2")</f>
        <v>Maplink2</v>
      </c>
      <c r="AY679" s="104" t="str">
        <f>HYPERLINK("http://www.bing.com/maps/?lvl=14&amp;sty=h&amp;cp=35.6255~43.5477&amp;sp=point.35.6255_43.5477","Maplink3")</f>
        <v>Maplink3</v>
      </c>
    </row>
    <row r="680" spans="1:51" x14ac:dyDescent="0.2">
      <c r="A680" s="102">
        <v>29522</v>
      </c>
      <c r="B680" s="103" t="s">
        <v>33</v>
      </c>
      <c r="C680" s="103" t="s">
        <v>94</v>
      </c>
      <c r="D680" s="103" t="s">
        <v>1434</v>
      </c>
      <c r="E680" s="103" t="s">
        <v>1435</v>
      </c>
      <c r="F680" s="103">
        <v>35.780508240000003</v>
      </c>
      <c r="G680" s="103">
        <v>43.592539799999997</v>
      </c>
      <c r="H680" s="102">
        <v>50</v>
      </c>
      <c r="I680" s="102">
        <v>300</v>
      </c>
      <c r="J680" s="103"/>
      <c r="K680" s="103"/>
      <c r="L680" s="103"/>
      <c r="M680" s="103">
        <v>50</v>
      </c>
      <c r="N680" s="103"/>
      <c r="O680" s="103"/>
      <c r="P680" s="103"/>
      <c r="Q680" s="103"/>
      <c r="R680" s="103"/>
      <c r="S680" s="103"/>
      <c r="T680" s="103"/>
      <c r="U680" s="103"/>
      <c r="V680" s="103"/>
      <c r="W680" s="103"/>
      <c r="X680" s="103"/>
      <c r="Y680" s="103"/>
      <c r="Z680" s="103"/>
      <c r="AA680" s="103">
        <v>50</v>
      </c>
      <c r="AB680" s="103"/>
      <c r="AC680" s="103"/>
      <c r="AD680" s="103"/>
      <c r="AE680" s="103"/>
      <c r="AF680" s="103"/>
      <c r="AG680" s="103"/>
      <c r="AH680" s="103"/>
      <c r="AI680" s="103"/>
      <c r="AJ680" s="103"/>
      <c r="AK680" s="103"/>
      <c r="AL680" s="103"/>
      <c r="AM680" s="103"/>
      <c r="AN680" s="103"/>
      <c r="AO680" s="103"/>
      <c r="AP680" s="103"/>
      <c r="AQ680" s="103"/>
      <c r="AR680" s="103"/>
      <c r="AS680" s="103"/>
      <c r="AT680" s="103">
        <v>50</v>
      </c>
      <c r="AU680" s="103"/>
      <c r="AV680" s="103"/>
      <c r="AW680" s="104" t="str">
        <f>HYPERLINK("http://www.openstreetmap.org/?mlat=35.7805&amp;mlon=43.5925&amp;zoom=12#map=12/35.7805/43.5925","Maplink1")</f>
        <v>Maplink1</v>
      </c>
      <c r="AX680" s="104" t="str">
        <f>HYPERLINK("https://www.google.iq/maps/search/+35.7805,43.5925/@35.7805,43.5925,14z?hl=en","Maplink2")</f>
        <v>Maplink2</v>
      </c>
      <c r="AY680" s="104" t="str">
        <f>HYPERLINK("http://www.bing.com/maps/?lvl=14&amp;sty=h&amp;cp=35.7805~43.5925&amp;sp=point.35.7805_43.5925","Maplink3")</f>
        <v>Maplink3</v>
      </c>
    </row>
    <row r="681" spans="1:51" x14ac:dyDescent="0.2">
      <c r="A681" s="102">
        <v>33847</v>
      </c>
      <c r="B681" s="103" t="s">
        <v>33</v>
      </c>
      <c r="C681" s="103" t="s">
        <v>94</v>
      </c>
      <c r="D681" s="103" t="s">
        <v>1436</v>
      </c>
      <c r="E681" s="103" t="s">
        <v>1437</v>
      </c>
      <c r="F681" s="103">
        <v>36.003329999999998</v>
      </c>
      <c r="G681" s="103">
        <v>43.554169999999999</v>
      </c>
      <c r="H681" s="102">
        <v>28</v>
      </c>
      <c r="I681" s="102">
        <v>168</v>
      </c>
      <c r="J681" s="103"/>
      <c r="K681" s="103"/>
      <c r="L681" s="103"/>
      <c r="M681" s="103">
        <v>28</v>
      </c>
      <c r="N681" s="103"/>
      <c r="O681" s="103"/>
      <c r="P681" s="103"/>
      <c r="Q681" s="103"/>
      <c r="R681" s="103"/>
      <c r="S681" s="103"/>
      <c r="T681" s="103"/>
      <c r="U681" s="103"/>
      <c r="V681" s="103"/>
      <c r="W681" s="103"/>
      <c r="X681" s="103"/>
      <c r="Y681" s="103"/>
      <c r="Z681" s="103"/>
      <c r="AA681" s="103">
        <v>28</v>
      </c>
      <c r="AB681" s="103"/>
      <c r="AC681" s="103"/>
      <c r="AD681" s="103"/>
      <c r="AE681" s="103"/>
      <c r="AF681" s="103"/>
      <c r="AG681" s="103"/>
      <c r="AH681" s="103"/>
      <c r="AI681" s="103"/>
      <c r="AJ681" s="103"/>
      <c r="AK681" s="103"/>
      <c r="AL681" s="103"/>
      <c r="AM681" s="103"/>
      <c r="AN681" s="103"/>
      <c r="AO681" s="103"/>
      <c r="AP681" s="103"/>
      <c r="AQ681" s="103"/>
      <c r="AR681" s="103"/>
      <c r="AS681" s="103"/>
      <c r="AT681" s="103">
        <v>28</v>
      </c>
      <c r="AU681" s="103"/>
      <c r="AV681" s="103"/>
      <c r="AW681" s="104" t="str">
        <f>HYPERLINK("http://www.openstreetmap.org/?mlat=36.0033&amp;mlon=43.5542&amp;zoom=12#map=12/36.0033/43.5542","Maplink1")</f>
        <v>Maplink1</v>
      </c>
      <c r="AX681" s="104" t="str">
        <f>HYPERLINK("https://www.google.iq/maps/search/+36.0033,43.5542/@36.0033,43.5542,14z?hl=en","Maplink2")</f>
        <v>Maplink2</v>
      </c>
      <c r="AY681" s="104" t="str">
        <f>HYPERLINK("http://www.bing.com/maps/?lvl=14&amp;sty=h&amp;cp=36.0033~43.5542&amp;sp=point.36.0033_43.5542","Maplink3")</f>
        <v>Maplink3</v>
      </c>
    </row>
    <row r="682" spans="1:51" x14ac:dyDescent="0.2">
      <c r="A682" s="102">
        <v>13453</v>
      </c>
      <c r="B682" s="103" t="s">
        <v>33</v>
      </c>
      <c r="C682" s="103" t="s">
        <v>94</v>
      </c>
      <c r="D682" s="103" t="s">
        <v>1438</v>
      </c>
      <c r="E682" s="103" t="s">
        <v>1439</v>
      </c>
      <c r="F682" s="103">
        <v>35.590499999999999</v>
      </c>
      <c r="G682" s="103">
        <v>43.601700000000001</v>
      </c>
      <c r="H682" s="102">
        <v>60</v>
      </c>
      <c r="I682" s="102">
        <v>360</v>
      </c>
      <c r="J682" s="103"/>
      <c r="K682" s="103"/>
      <c r="L682" s="103"/>
      <c r="M682" s="103">
        <v>60</v>
      </c>
      <c r="N682" s="103"/>
      <c r="O682" s="103"/>
      <c r="P682" s="103"/>
      <c r="Q682" s="103"/>
      <c r="R682" s="103"/>
      <c r="S682" s="103"/>
      <c r="T682" s="103"/>
      <c r="U682" s="103"/>
      <c r="V682" s="103"/>
      <c r="W682" s="103"/>
      <c r="X682" s="103"/>
      <c r="Y682" s="103"/>
      <c r="Z682" s="103"/>
      <c r="AA682" s="103">
        <v>8</v>
      </c>
      <c r="AB682" s="103"/>
      <c r="AC682" s="103">
        <v>29</v>
      </c>
      <c r="AD682" s="103"/>
      <c r="AE682" s="103"/>
      <c r="AF682" s="103"/>
      <c r="AG682" s="103">
        <v>23</v>
      </c>
      <c r="AH682" s="103"/>
      <c r="AI682" s="103"/>
      <c r="AJ682" s="103"/>
      <c r="AK682" s="103"/>
      <c r="AL682" s="103"/>
      <c r="AM682" s="103"/>
      <c r="AN682" s="103"/>
      <c r="AO682" s="103">
        <v>60</v>
      </c>
      <c r="AP682" s="103"/>
      <c r="AQ682" s="103"/>
      <c r="AR682" s="103"/>
      <c r="AS682" s="103"/>
      <c r="AT682" s="103"/>
      <c r="AU682" s="103"/>
      <c r="AV682" s="103"/>
      <c r="AW682" s="104" t="str">
        <f>HYPERLINK("http://www.openstreetmap.org/?mlat=35.5905&amp;mlon=43.6017&amp;zoom=12#map=12/35.5905/43.6017","Maplink1")</f>
        <v>Maplink1</v>
      </c>
      <c r="AX682" s="104" t="str">
        <f>HYPERLINK("https://www.google.iq/maps/search/+35.5905,43.6017/@35.5905,43.6017,14z?hl=en","Maplink2")</f>
        <v>Maplink2</v>
      </c>
      <c r="AY682" s="104" t="str">
        <f>HYPERLINK("http://www.bing.com/maps/?lvl=14&amp;sty=h&amp;cp=35.5905~43.6017&amp;sp=point.35.5905_43.6017","Maplink3")</f>
        <v>Maplink3</v>
      </c>
    </row>
    <row r="683" spans="1:51" x14ac:dyDescent="0.2">
      <c r="A683" s="102">
        <v>34017</v>
      </c>
      <c r="B683" s="103" t="s">
        <v>33</v>
      </c>
      <c r="C683" s="103" t="s">
        <v>94</v>
      </c>
      <c r="D683" s="103" t="s">
        <v>1440</v>
      </c>
      <c r="E683" s="103" t="s">
        <v>1441</v>
      </c>
      <c r="F683" s="103">
        <v>35.824199999999998</v>
      </c>
      <c r="G683" s="103">
        <v>43.482799999999997</v>
      </c>
      <c r="H683" s="102">
        <v>104</v>
      </c>
      <c r="I683" s="102">
        <v>624</v>
      </c>
      <c r="J683" s="103"/>
      <c r="K683" s="103"/>
      <c r="L683" s="103"/>
      <c r="M683" s="103">
        <v>104</v>
      </c>
      <c r="N683" s="103"/>
      <c r="O683" s="103"/>
      <c r="P683" s="103"/>
      <c r="Q683" s="103"/>
      <c r="R683" s="103"/>
      <c r="S683" s="103"/>
      <c r="T683" s="103"/>
      <c r="U683" s="103"/>
      <c r="V683" s="103"/>
      <c r="W683" s="103"/>
      <c r="X683" s="103"/>
      <c r="Y683" s="103"/>
      <c r="Z683" s="103"/>
      <c r="AA683" s="103">
        <v>104</v>
      </c>
      <c r="AB683" s="103"/>
      <c r="AC683" s="103"/>
      <c r="AD683" s="103"/>
      <c r="AE683" s="103"/>
      <c r="AF683" s="103"/>
      <c r="AG683" s="103"/>
      <c r="AH683" s="103"/>
      <c r="AI683" s="103"/>
      <c r="AJ683" s="103"/>
      <c r="AK683" s="103"/>
      <c r="AL683" s="103"/>
      <c r="AM683" s="103"/>
      <c r="AN683" s="103"/>
      <c r="AO683" s="103">
        <v>90</v>
      </c>
      <c r="AP683" s="103">
        <v>14</v>
      </c>
      <c r="AQ683" s="103"/>
      <c r="AR683" s="103"/>
      <c r="AS683" s="103"/>
      <c r="AT683" s="103"/>
      <c r="AU683" s="103"/>
      <c r="AV683" s="103"/>
      <c r="AW683" s="104" t="str">
        <f>HYPERLINK("http://www.openstreetmap.org/?mlat=35.8242&amp;mlon=43.4828&amp;zoom=12#map=12/35.8242/43.4828","Maplink1")</f>
        <v>Maplink1</v>
      </c>
      <c r="AX683" s="104" t="str">
        <f>HYPERLINK("https://www.google.iq/maps/search/+35.8242,43.4828/@35.8242,43.4828,14z?hl=en","Maplink2")</f>
        <v>Maplink2</v>
      </c>
      <c r="AY683" s="104" t="str">
        <f>HYPERLINK("http://www.bing.com/maps/?lvl=14&amp;sty=h&amp;cp=35.8242~43.4828&amp;sp=point.35.8242_43.4828","Maplink3")</f>
        <v>Maplink3</v>
      </c>
    </row>
    <row r="684" spans="1:51" x14ac:dyDescent="0.2">
      <c r="A684" s="102">
        <v>13361</v>
      </c>
      <c r="B684" s="103" t="s">
        <v>33</v>
      </c>
      <c r="C684" s="103" t="s">
        <v>94</v>
      </c>
      <c r="D684" s="103" t="s">
        <v>1460</v>
      </c>
      <c r="E684" s="103" t="s">
        <v>1461</v>
      </c>
      <c r="F684" s="103">
        <v>36.059150000000002</v>
      </c>
      <c r="G684" s="103">
        <v>43.508303400000003</v>
      </c>
      <c r="H684" s="102">
        <v>135</v>
      </c>
      <c r="I684" s="102">
        <v>810</v>
      </c>
      <c r="J684" s="103"/>
      <c r="K684" s="103"/>
      <c r="L684" s="103"/>
      <c r="M684" s="103">
        <v>135</v>
      </c>
      <c r="N684" s="103"/>
      <c r="O684" s="103"/>
      <c r="P684" s="103"/>
      <c r="Q684" s="103"/>
      <c r="R684" s="103"/>
      <c r="S684" s="103"/>
      <c r="T684" s="103"/>
      <c r="U684" s="103"/>
      <c r="V684" s="103"/>
      <c r="W684" s="103"/>
      <c r="X684" s="103"/>
      <c r="Y684" s="103"/>
      <c r="Z684" s="103"/>
      <c r="AA684" s="103">
        <v>113</v>
      </c>
      <c r="AB684" s="103"/>
      <c r="AC684" s="103">
        <v>20</v>
      </c>
      <c r="AD684" s="103"/>
      <c r="AE684" s="103"/>
      <c r="AF684" s="103"/>
      <c r="AG684" s="103">
        <v>2</v>
      </c>
      <c r="AH684" s="103"/>
      <c r="AI684" s="103"/>
      <c r="AJ684" s="103"/>
      <c r="AK684" s="103"/>
      <c r="AL684" s="103"/>
      <c r="AM684" s="103"/>
      <c r="AN684" s="103"/>
      <c r="AO684" s="103">
        <v>45</v>
      </c>
      <c r="AP684" s="103">
        <v>20</v>
      </c>
      <c r="AQ684" s="103"/>
      <c r="AR684" s="103"/>
      <c r="AS684" s="103"/>
      <c r="AT684" s="103">
        <v>70</v>
      </c>
      <c r="AU684" s="103"/>
      <c r="AV684" s="103"/>
      <c r="AW684" s="104" t="str">
        <f>HYPERLINK("http://www.openstreetmap.org/?mlat=36.0592&amp;mlon=43.5083&amp;zoom=12#map=12/36.0592/43.5083","Maplink1")</f>
        <v>Maplink1</v>
      </c>
      <c r="AX684" s="104" t="str">
        <f>HYPERLINK("https://www.google.iq/maps/search/+36.0592,43.5083/@36.0592,43.5083,14z?hl=en","Maplink2")</f>
        <v>Maplink2</v>
      </c>
      <c r="AY684" s="104" t="str">
        <f>HYPERLINK("http://www.bing.com/maps/?lvl=14&amp;sty=h&amp;cp=36.0592~43.5083&amp;sp=point.36.0592_43.5083","Maplink3")</f>
        <v>Maplink3</v>
      </c>
    </row>
    <row r="685" spans="1:51" x14ac:dyDescent="0.2">
      <c r="A685" s="102">
        <v>12461</v>
      </c>
      <c r="B685" s="103" t="s">
        <v>33</v>
      </c>
      <c r="C685" s="103" t="s">
        <v>94</v>
      </c>
      <c r="D685" s="103" t="s">
        <v>1462</v>
      </c>
      <c r="E685" s="103" t="s">
        <v>1463</v>
      </c>
      <c r="F685" s="103">
        <v>35.832566700000001</v>
      </c>
      <c r="G685" s="103">
        <v>43.436928700000003</v>
      </c>
      <c r="H685" s="102">
        <v>117</v>
      </c>
      <c r="I685" s="102">
        <v>702</v>
      </c>
      <c r="J685" s="103"/>
      <c r="K685" s="103"/>
      <c r="L685" s="103"/>
      <c r="M685" s="103">
        <v>117</v>
      </c>
      <c r="N685" s="103"/>
      <c r="O685" s="103"/>
      <c r="P685" s="103"/>
      <c r="Q685" s="103"/>
      <c r="R685" s="103"/>
      <c r="S685" s="103"/>
      <c r="T685" s="103"/>
      <c r="U685" s="103"/>
      <c r="V685" s="103"/>
      <c r="W685" s="103"/>
      <c r="X685" s="103"/>
      <c r="Y685" s="103"/>
      <c r="Z685" s="103"/>
      <c r="AA685" s="103">
        <v>117</v>
      </c>
      <c r="AB685" s="103"/>
      <c r="AC685" s="103"/>
      <c r="AD685" s="103"/>
      <c r="AE685" s="103"/>
      <c r="AF685" s="103"/>
      <c r="AG685" s="103"/>
      <c r="AH685" s="103"/>
      <c r="AI685" s="103"/>
      <c r="AJ685" s="103"/>
      <c r="AK685" s="103"/>
      <c r="AL685" s="103"/>
      <c r="AM685" s="103"/>
      <c r="AN685" s="103"/>
      <c r="AO685" s="103"/>
      <c r="AP685" s="103">
        <v>117</v>
      </c>
      <c r="AQ685" s="103"/>
      <c r="AR685" s="103"/>
      <c r="AS685" s="103"/>
      <c r="AT685" s="103"/>
      <c r="AU685" s="103"/>
      <c r="AV685" s="103"/>
      <c r="AW685" s="104" t="str">
        <f>HYPERLINK("http://www.openstreetmap.org/?mlat=35.8326&amp;mlon=43.4369&amp;zoom=12#map=12/35.8326/43.4369","Maplink1")</f>
        <v>Maplink1</v>
      </c>
      <c r="AX685" s="104" t="str">
        <f>HYPERLINK("https://www.google.iq/maps/search/+35.8326,43.4369/@35.8326,43.4369,14z?hl=en","Maplink2")</f>
        <v>Maplink2</v>
      </c>
      <c r="AY685" s="104" t="str">
        <f>HYPERLINK("http://www.bing.com/maps/?lvl=14&amp;sty=h&amp;cp=35.8326~43.4369&amp;sp=point.35.8326_43.4369","Maplink3")</f>
        <v>Maplink3</v>
      </c>
    </row>
    <row r="686" spans="1:51" x14ac:dyDescent="0.2">
      <c r="A686" s="102">
        <v>11952</v>
      </c>
      <c r="B686" s="103" t="s">
        <v>33</v>
      </c>
      <c r="C686" s="103" t="s">
        <v>94</v>
      </c>
      <c r="D686" s="103" t="s">
        <v>1464</v>
      </c>
      <c r="E686" s="103" t="s">
        <v>1465</v>
      </c>
      <c r="F686" s="103">
        <v>35.511499999999998</v>
      </c>
      <c r="G686" s="103">
        <v>43.5458</v>
      </c>
      <c r="H686" s="102">
        <v>10</v>
      </c>
      <c r="I686" s="102">
        <v>60</v>
      </c>
      <c r="J686" s="103"/>
      <c r="K686" s="103"/>
      <c r="L686" s="103"/>
      <c r="M686" s="103">
        <v>10</v>
      </c>
      <c r="N686" s="103"/>
      <c r="O686" s="103"/>
      <c r="P686" s="103"/>
      <c r="Q686" s="103"/>
      <c r="R686" s="103"/>
      <c r="S686" s="103"/>
      <c r="T686" s="103"/>
      <c r="U686" s="103"/>
      <c r="V686" s="103"/>
      <c r="W686" s="103"/>
      <c r="X686" s="103"/>
      <c r="Y686" s="103"/>
      <c r="Z686" s="103"/>
      <c r="AA686" s="103">
        <v>4</v>
      </c>
      <c r="AB686" s="103"/>
      <c r="AC686" s="103"/>
      <c r="AD686" s="103"/>
      <c r="AE686" s="103"/>
      <c r="AF686" s="103"/>
      <c r="AG686" s="103">
        <v>6</v>
      </c>
      <c r="AH686" s="103"/>
      <c r="AI686" s="103"/>
      <c r="AJ686" s="103"/>
      <c r="AK686" s="103"/>
      <c r="AL686" s="103"/>
      <c r="AM686" s="103"/>
      <c r="AN686" s="103"/>
      <c r="AO686" s="103">
        <v>10</v>
      </c>
      <c r="AP686" s="103"/>
      <c r="AQ686" s="103"/>
      <c r="AR686" s="103"/>
      <c r="AS686" s="103"/>
      <c r="AT686" s="103"/>
      <c r="AU686" s="103"/>
      <c r="AV686" s="103"/>
      <c r="AW686" s="104" t="str">
        <f>HYPERLINK("http://www.openstreetmap.org/?mlat=35.5115&amp;mlon=43.5458&amp;zoom=12#map=12/35.5115/43.5458","Maplink1")</f>
        <v>Maplink1</v>
      </c>
      <c r="AX686" s="104" t="str">
        <f>HYPERLINK("https://www.google.iq/maps/search/+35.5115,43.5458/@35.5115,43.5458,14z?hl=en","Maplink2")</f>
        <v>Maplink2</v>
      </c>
      <c r="AY686" s="104" t="str">
        <f>HYPERLINK("http://www.bing.com/maps/?lvl=14&amp;sty=h&amp;cp=35.5115~43.5458&amp;sp=point.35.5115_43.5458","Maplink3")</f>
        <v>Maplink3</v>
      </c>
    </row>
    <row r="687" spans="1:51" x14ac:dyDescent="0.2">
      <c r="A687" s="102">
        <v>13494</v>
      </c>
      <c r="B687" s="103" t="s">
        <v>33</v>
      </c>
      <c r="C687" s="103" t="s">
        <v>94</v>
      </c>
      <c r="D687" s="103" t="s">
        <v>1466</v>
      </c>
      <c r="E687" s="103" t="s">
        <v>1467</v>
      </c>
      <c r="F687" s="103">
        <v>35.541400000000003</v>
      </c>
      <c r="G687" s="103">
        <v>43.596699999999998</v>
      </c>
      <c r="H687" s="102">
        <v>10</v>
      </c>
      <c r="I687" s="102">
        <v>60</v>
      </c>
      <c r="J687" s="103"/>
      <c r="K687" s="103"/>
      <c r="L687" s="103"/>
      <c r="M687" s="103">
        <v>10</v>
      </c>
      <c r="N687" s="103"/>
      <c r="O687" s="103"/>
      <c r="P687" s="103"/>
      <c r="Q687" s="103"/>
      <c r="R687" s="103"/>
      <c r="S687" s="103"/>
      <c r="T687" s="103"/>
      <c r="U687" s="103"/>
      <c r="V687" s="103"/>
      <c r="W687" s="103"/>
      <c r="X687" s="103"/>
      <c r="Y687" s="103"/>
      <c r="Z687" s="103"/>
      <c r="AA687" s="103">
        <v>2</v>
      </c>
      <c r="AB687" s="103"/>
      <c r="AC687" s="103"/>
      <c r="AD687" s="103"/>
      <c r="AE687" s="103"/>
      <c r="AF687" s="103"/>
      <c r="AG687" s="103">
        <v>8</v>
      </c>
      <c r="AH687" s="103"/>
      <c r="AI687" s="103"/>
      <c r="AJ687" s="103"/>
      <c r="AK687" s="103"/>
      <c r="AL687" s="103"/>
      <c r="AM687" s="103"/>
      <c r="AN687" s="103"/>
      <c r="AO687" s="103">
        <v>10</v>
      </c>
      <c r="AP687" s="103"/>
      <c r="AQ687" s="103"/>
      <c r="AR687" s="103"/>
      <c r="AS687" s="103"/>
      <c r="AT687" s="103"/>
      <c r="AU687" s="103"/>
      <c r="AV687" s="103"/>
      <c r="AW687" s="104" t="str">
        <f>HYPERLINK("http://www.openstreetmap.org/?mlat=35.5414&amp;mlon=43.5967&amp;zoom=12#map=12/35.5414/43.5967","Maplink1")</f>
        <v>Maplink1</v>
      </c>
      <c r="AX687" s="104" t="str">
        <f>HYPERLINK("https://www.google.iq/maps/search/+35.5414,43.5967/@35.5414,43.5967,14z?hl=en","Maplink2")</f>
        <v>Maplink2</v>
      </c>
      <c r="AY687" s="104" t="str">
        <f>HYPERLINK("http://www.bing.com/maps/?lvl=14&amp;sty=h&amp;cp=35.5414~43.5967&amp;sp=point.35.5414_43.5967","Maplink3")</f>
        <v>Maplink3</v>
      </c>
    </row>
    <row r="688" spans="1:51" x14ac:dyDescent="0.2">
      <c r="A688" s="102">
        <v>34022</v>
      </c>
      <c r="B688" s="103" t="s">
        <v>33</v>
      </c>
      <c r="C688" s="103" t="s">
        <v>94</v>
      </c>
      <c r="D688" s="103" t="s">
        <v>1468</v>
      </c>
      <c r="E688" s="103" t="s">
        <v>1469</v>
      </c>
      <c r="F688" s="103">
        <v>35.640999999999998</v>
      </c>
      <c r="G688" s="103">
        <v>43.631700000000002</v>
      </c>
      <c r="H688" s="102">
        <v>4</v>
      </c>
      <c r="I688" s="102">
        <v>24</v>
      </c>
      <c r="J688" s="103"/>
      <c r="K688" s="103"/>
      <c r="L688" s="103"/>
      <c r="M688" s="103">
        <v>4</v>
      </c>
      <c r="N688" s="103"/>
      <c r="O688" s="103"/>
      <c r="P688" s="103"/>
      <c r="Q688" s="103"/>
      <c r="R688" s="103"/>
      <c r="S688" s="103"/>
      <c r="T688" s="103"/>
      <c r="U688" s="103"/>
      <c r="V688" s="103"/>
      <c r="W688" s="103"/>
      <c r="X688" s="103"/>
      <c r="Y688" s="103"/>
      <c r="Z688" s="103"/>
      <c r="AA688" s="103">
        <v>4</v>
      </c>
      <c r="AB688" s="103"/>
      <c r="AC688" s="103"/>
      <c r="AD688" s="103"/>
      <c r="AE688" s="103"/>
      <c r="AF688" s="103"/>
      <c r="AG688" s="103"/>
      <c r="AH688" s="103"/>
      <c r="AI688" s="103"/>
      <c r="AJ688" s="103"/>
      <c r="AK688" s="103"/>
      <c r="AL688" s="103"/>
      <c r="AM688" s="103"/>
      <c r="AN688" s="103"/>
      <c r="AO688" s="103">
        <v>4</v>
      </c>
      <c r="AP688" s="103"/>
      <c r="AQ688" s="103"/>
      <c r="AR688" s="103"/>
      <c r="AS688" s="103"/>
      <c r="AT688" s="103"/>
      <c r="AU688" s="103"/>
      <c r="AV688" s="103"/>
      <c r="AW688" s="104" t="str">
        <f>HYPERLINK("http://www.openstreetmap.org/?mlat=35.641&amp;mlon=43.6317&amp;zoom=12#map=12/35.641/43.6317","Maplink1")</f>
        <v>Maplink1</v>
      </c>
      <c r="AX688" s="104" t="str">
        <f>HYPERLINK("https://www.google.iq/maps/search/+35.641,43.6317/@35.641,43.6317,14z?hl=en","Maplink2")</f>
        <v>Maplink2</v>
      </c>
      <c r="AY688" s="104" t="str">
        <f>HYPERLINK("http://www.bing.com/maps/?lvl=14&amp;sty=h&amp;cp=35.641~43.6317&amp;sp=point.35.641_43.6317","Maplink3")</f>
        <v>Maplink3</v>
      </c>
    </row>
    <row r="689" spans="1:51" x14ac:dyDescent="0.2">
      <c r="A689" s="102">
        <v>11912</v>
      </c>
      <c r="B689" s="103" t="s">
        <v>33</v>
      </c>
      <c r="C689" s="103" t="s">
        <v>94</v>
      </c>
      <c r="D689" s="103" t="s">
        <v>1454</v>
      </c>
      <c r="E689" s="103" t="s">
        <v>1455</v>
      </c>
      <c r="F689" s="103">
        <v>36.110557999999997</v>
      </c>
      <c r="G689" s="103">
        <v>43.5590148</v>
      </c>
      <c r="H689" s="102">
        <v>575</v>
      </c>
      <c r="I689" s="102">
        <v>3450</v>
      </c>
      <c r="J689" s="103"/>
      <c r="K689" s="103"/>
      <c r="L689" s="103"/>
      <c r="M689" s="103">
        <v>575</v>
      </c>
      <c r="N689" s="103"/>
      <c r="O689" s="103"/>
      <c r="P689" s="103"/>
      <c r="Q689" s="103"/>
      <c r="R689" s="103"/>
      <c r="S689" s="103"/>
      <c r="T689" s="103"/>
      <c r="U689" s="103"/>
      <c r="V689" s="103"/>
      <c r="W689" s="103"/>
      <c r="X689" s="103"/>
      <c r="Y689" s="103"/>
      <c r="Z689" s="103"/>
      <c r="AA689" s="103">
        <v>472</v>
      </c>
      <c r="AB689" s="103"/>
      <c r="AC689" s="103">
        <v>100</v>
      </c>
      <c r="AD689" s="103"/>
      <c r="AE689" s="103"/>
      <c r="AF689" s="103"/>
      <c r="AG689" s="103">
        <v>3</v>
      </c>
      <c r="AH689" s="103"/>
      <c r="AI689" s="103"/>
      <c r="AJ689" s="103"/>
      <c r="AK689" s="103"/>
      <c r="AL689" s="103"/>
      <c r="AM689" s="103"/>
      <c r="AN689" s="103"/>
      <c r="AO689" s="103">
        <v>515</v>
      </c>
      <c r="AP689" s="103">
        <v>30</v>
      </c>
      <c r="AQ689" s="103"/>
      <c r="AR689" s="103"/>
      <c r="AS689" s="103"/>
      <c r="AT689" s="103">
        <v>30</v>
      </c>
      <c r="AU689" s="103"/>
      <c r="AV689" s="103"/>
      <c r="AW689" s="104" t="str">
        <f>HYPERLINK("http://www.openstreetmap.org/?mlat=36.1106&amp;mlon=43.559&amp;zoom=12#map=12/36.1106/43.559","Maplink1")</f>
        <v>Maplink1</v>
      </c>
      <c r="AX689" s="104" t="str">
        <f>HYPERLINK("https://www.google.iq/maps/search/+36.1106,43.559/@36.1106,43.559,14z?hl=en","Maplink2")</f>
        <v>Maplink2</v>
      </c>
      <c r="AY689" s="104" t="str">
        <f>HYPERLINK("http://www.bing.com/maps/?lvl=14&amp;sty=h&amp;cp=36.1106~43.559&amp;sp=point.36.1106_43.559","Maplink3")</f>
        <v>Maplink3</v>
      </c>
    </row>
    <row r="690" spans="1:51" x14ac:dyDescent="0.2">
      <c r="A690" s="102">
        <v>34018</v>
      </c>
      <c r="B690" s="103" t="s">
        <v>33</v>
      </c>
      <c r="C690" s="103" t="s">
        <v>94</v>
      </c>
      <c r="D690" s="103" t="s">
        <v>1456</v>
      </c>
      <c r="E690" s="103" t="s">
        <v>1457</v>
      </c>
      <c r="F690" s="103">
        <v>35.851213399999999</v>
      </c>
      <c r="G690" s="103">
        <v>43.397626899999999</v>
      </c>
      <c r="H690" s="102">
        <v>103</v>
      </c>
      <c r="I690" s="102">
        <v>618</v>
      </c>
      <c r="J690" s="103"/>
      <c r="K690" s="103"/>
      <c r="L690" s="103"/>
      <c r="M690" s="103">
        <v>103</v>
      </c>
      <c r="N690" s="103"/>
      <c r="O690" s="103"/>
      <c r="P690" s="103"/>
      <c r="Q690" s="103"/>
      <c r="R690" s="103"/>
      <c r="S690" s="103"/>
      <c r="T690" s="103"/>
      <c r="U690" s="103"/>
      <c r="V690" s="103"/>
      <c r="W690" s="103"/>
      <c r="X690" s="103"/>
      <c r="Y690" s="103"/>
      <c r="Z690" s="103"/>
      <c r="AA690" s="103">
        <v>103</v>
      </c>
      <c r="AB690" s="103"/>
      <c r="AC690" s="103"/>
      <c r="AD690" s="103"/>
      <c r="AE690" s="103"/>
      <c r="AF690" s="103"/>
      <c r="AG690" s="103"/>
      <c r="AH690" s="103"/>
      <c r="AI690" s="103"/>
      <c r="AJ690" s="103"/>
      <c r="AK690" s="103"/>
      <c r="AL690" s="103"/>
      <c r="AM690" s="103"/>
      <c r="AN690" s="103">
        <v>30</v>
      </c>
      <c r="AO690" s="103"/>
      <c r="AP690" s="103">
        <v>73</v>
      </c>
      <c r="AQ690" s="103"/>
      <c r="AR690" s="103"/>
      <c r="AS690" s="103"/>
      <c r="AT690" s="103"/>
      <c r="AU690" s="103"/>
      <c r="AV690" s="103"/>
      <c r="AW690" s="104" t="str">
        <f>HYPERLINK("http://www.openstreetmap.org/?mlat=35.8512&amp;mlon=43.3976&amp;zoom=12#map=12/35.8512/43.3976","Maplink1")</f>
        <v>Maplink1</v>
      </c>
      <c r="AX690" s="104" t="str">
        <f>HYPERLINK("https://www.google.iq/maps/search/+35.8512,43.3976/@35.8512,43.3976,14z?hl=en","Maplink2")</f>
        <v>Maplink2</v>
      </c>
      <c r="AY690" s="104" t="str">
        <f>HYPERLINK("http://www.bing.com/maps/?lvl=14&amp;sty=h&amp;cp=35.8512~43.3976&amp;sp=point.35.8512_43.3976","Maplink3")</f>
        <v>Maplink3</v>
      </c>
    </row>
    <row r="691" spans="1:51" x14ac:dyDescent="0.2">
      <c r="A691" s="102">
        <v>13426</v>
      </c>
      <c r="B691" s="103" t="s">
        <v>33</v>
      </c>
      <c r="C691" s="103" t="s">
        <v>94</v>
      </c>
      <c r="D691" s="103" t="s">
        <v>1458</v>
      </c>
      <c r="E691" s="103" t="s">
        <v>1459</v>
      </c>
      <c r="F691" s="103">
        <v>35.679600000000001</v>
      </c>
      <c r="G691" s="103">
        <v>43.370600000000003</v>
      </c>
      <c r="H691" s="102">
        <v>100</v>
      </c>
      <c r="I691" s="102">
        <v>600</v>
      </c>
      <c r="J691" s="103"/>
      <c r="K691" s="103"/>
      <c r="L691" s="103"/>
      <c r="M691" s="103">
        <v>100</v>
      </c>
      <c r="N691" s="103"/>
      <c r="O691" s="103"/>
      <c r="P691" s="103"/>
      <c r="Q691" s="103"/>
      <c r="R691" s="103"/>
      <c r="S691" s="103"/>
      <c r="T691" s="103"/>
      <c r="U691" s="103"/>
      <c r="V691" s="103"/>
      <c r="W691" s="103"/>
      <c r="X691" s="103"/>
      <c r="Y691" s="103"/>
      <c r="Z691" s="103"/>
      <c r="AA691" s="103">
        <v>75</v>
      </c>
      <c r="AB691" s="103"/>
      <c r="AC691" s="103"/>
      <c r="AD691" s="103"/>
      <c r="AE691" s="103"/>
      <c r="AF691" s="103"/>
      <c r="AG691" s="103">
        <v>25</v>
      </c>
      <c r="AH691" s="103"/>
      <c r="AI691" s="103"/>
      <c r="AJ691" s="103"/>
      <c r="AK691" s="103"/>
      <c r="AL691" s="103"/>
      <c r="AM691" s="103"/>
      <c r="AN691" s="103"/>
      <c r="AO691" s="103">
        <v>100</v>
      </c>
      <c r="AP691" s="103"/>
      <c r="AQ691" s="103"/>
      <c r="AR691" s="103"/>
      <c r="AS691" s="103"/>
      <c r="AT691" s="103"/>
      <c r="AU691" s="103"/>
      <c r="AV691" s="103"/>
      <c r="AW691" s="104" t="str">
        <f>HYPERLINK("http://www.openstreetmap.org/?mlat=35.6796&amp;mlon=43.3706&amp;zoom=12#map=12/35.6796/43.3706","Maplink1")</f>
        <v>Maplink1</v>
      </c>
      <c r="AX691" s="104" t="str">
        <f>HYPERLINK("https://www.google.iq/maps/search/+35.6796,43.3706/@35.6796,43.3706,14z?hl=en","Maplink2")</f>
        <v>Maplink2</v>
      </c>
      <c r="AY691" s="104" t="str">
        <f>HYPERLINK("http://www.bing.com/maps/?lvl=14&amp;sty=h&amp;cp=35.6796~43.3706&amp;sp=point.35.6796_43.3706","Maplink3")</f>
        <v>Maplink3</v>
      </c>
    </row>
    <row r="692" spans="1:51" x14ac:dyDescent="0.2">
      <c r="A692" s="102">
        <v>13674</v>
      </c>
      <c r="B692" s="103" t="s">
        <v>33</v>
      </c>
      <c r="C692" s="103" t="s">
        <v>94</v>
      </c>
      <c r="D692" s="103" t="s">
        <v>1412</v>
      </c>
      <c r="E692" s="103" t="s">
        <v>1413</v>
      </c>
      <c r="F692" s="103">
        <v>35.780755890000002</v>
      </c>
      <c r="G692" s="103">
        <v>43.585956000000003</v>
      </c>
      <c r="H692" s="102">
        <v>480</v>
      </c>
      <c r="I692" s="102">
        <v>2880</v>
      </c>
      <c r="J692" s="103"/>
      <c r="K692" s="103"/>
      <c r="L692" s="103"/>
      <c r="M692" s="103">
        <v>480</v>
      </c>
      <c r="N692" s="103"/>
      <c r="O692" s="103"/>
      <c r="P692" s="103"/>
      <c r="Q692" s="103"/>
      <c r="R692" s="103"/>
      <c r="S692" s="103"/>
      <c r="T692" s="103"/>
      <c r="U692" s="103"/>
      <c r="V692" s="103"/>
      <c r="W692" s="103"/>
      <c r="X692" s="103"/>
      <c r="Y692" s="103"/>
      <c r="Z692" s="103"/>
      <c r="AA692" s="103">
        <v>480</v>
      </c>
      <c r="AB692" s="103"/>
      <c r="AC692" s="103"/>
      <c r="AD692" s="103"/>
      <c r="AE692" s="103"/>
      <c r="AF692" s="103"/>
      <c r="AG692" s="103"/>
      <c r="AH692" s="103"/>
      <c r="AI692" s="103"/>
      <c r="AJ692" s="103"/>
      <c r="AK692" s="103"/>
      <c r="AL692" s="103"/>
      <c r="AM692" s="103"/>
      <c r="AN692" s="103"/>
      <c r="AO692" s="103"/>
      <c r="AP692" s="103"/>
      <c r="AQ692" s="103"/>
      <c r="AR692" s="103"/>
      <c r="AS692" s="103"/>
      <c r="AT692" s="103">
        <v>480</v>
      </c>
      <c r="AU692" s="103"/>
      <c r="AV692" s="103"/>
      <c r="AW692" s="104" t="str">
        <f>HYPERLINK("http://www.openstreetmap.org/?mlat=35.7808&amp;mlon=43.586&amp;zoom=12#map=12/35.7808/43.586","Maplink1")</f>
        <v>Maplink1</v>
      </c>
      <c r="AX692" s="104" t="str">
        <f>HYPERLINK("https://www.google.iq/maps/search/+35.7808,43.586/@35.7808,43.586,14z?hl=en","Maplink2")</f>
        <v>Maplink2</v>
      </c>
      <c r="AY692" s="104" t="str">
        <f>HYPERLINK("http://www.bing.com/maps/?lvl=14&amp;sty=h&amp;cp=35.7808~43.586&amp;sp=point.35.7808_43.586","Maplink3")</f>
        <v>Maplink3</v>
      </c>
    </row>
    <row r="693" spans="1:51" x14ac:dyDescent="0.2">
      <c r="A693" s="102">
        <v>12519</v>
      </c>
      <c r="B693" s="103" t="s">
        <v>33</v>
      </c>
      <c r="C693" s="103" t="s">
        <v>94</v>
      </c>
      <c r="D693" s="103" t="s">
        <v>1414</v>
      </c>
      <c r="E693" s="103" t="s">
        <v>1415</v>
      </c>
      <c r="F693" s="103">
        <v>35.762749849999999</v>
      </c>
      <c r="G693" s="103">
        <v>43.400847800000001</v>
      </c>
      <c r="H693" s="102">
        <v>137</v>
      </c>
      <c r="I693" s="102">
        <v>822</v>
      </c>
      <c r="J693" s="103"/>
      <c r="K693" s="103"/>
      <c r="L693" s="103"/>
      <c r="M693" s="103">
        <v>137</v>
      </c>
      <c r="N693" s="103"/>
      <c r="O693" s="103"/>
      <c r="P693" s="103"/>
      <c r="Q693" s="103"/>
      <c r="R693" s="103"/>
      <c r="S693" s="103"/>
      <c r="T693" s="103"/>
      <c r="U693" s="103"/>
      <c r="V693" s="103"/>
      <c r="W693" s="103"/>
      <c r="X693" s="103"/>
      <c r="Y693" s="103"/>
      <c r="Z693" s="103"/>
      <c r="AA693" s="103">
        <v>110</v>
      </c>
      <c r="AB693" s="103"/>
      <c r="AC693" s="103">
        <v>17</v>
      </c>
      <c r="AD693" s="103"/>
      <c r="AE693" s="103"/>
      <c r="AF693" s="103"/>
      <c r="AG693" s="103">
        <v>10</v>
      </c>
      <c r="AH693" s="103"/>
      <c r="AI693" s="103"/>
      <c r="AJ693" s="103"/>
      <c r="AK693" s="103"/>
      <c r="AL693" s="103"/>
      <c r="AM693" s="103"/>
      <c r="AN693" s="103">
        <v>10</v>
      </c>
      <c r="AO693" s="103"/>
      <c r="AP693" s="103">
        <v>100</v>
      </c>
      <c r="AQ693" s="103"/>
      <c r="AR693" s="103"/>
      <c r="AS693" s="103"/>
      <c r="AT693" s="103">
        <v>27</v>
      </c>
      <c r="AU693" s="103"/>
      <c r="AV693" s="103"/>
      <c r="AW693" s="104" t="str">
        <f>HYPERLINK("http://www.openstreetmap.org/?mlat=35.7627&amp;mlon=43.4008&amp;zoom=12#map=12/35.7627/43.4008","Maplink1")</f>
        <v>Maplink1</v>
      </c>
      <c r="AX693" s="104" t="str">
        <f>HYPERLINK("https://www.google.iq/maps/search/+35.7627,43.4008/@35.7627,43.4008,14z?hl=en","Maplink2")</f>
        <v>Maplink2</v>
      </c>
      <c r="AY693" s="104" t="str">
        <f>HYPERLINK("http://www.bing.com/maps/?lvl=14&amp;sty=h&amp;cp=35.7627~43.4008&amp;sp=point.35.7627_43.4008","Maplink3")</f>
        <v>Maplink3</v>
      </c>
    </row>
    <row r="694" spans="1:51" x14ac:dyDescent="0.2">
      <c r="A694" s="102">
        <v>13551</v>
      </c>
      <c r="B694" s="103" t="s">
        <v>33</v>
      </c>
      <c r="C694" s="103" t="s">
        <v>94</v>
      </c>
      <c r="D694" s="103" t="s">
        <v>1416</v>
      </c>
      <c r="E694" s="103" t="s">
        <v>1417</v>
      </c>
      <c r="F694" s="103">
        <v>35.783799999999999</v>
      </c>
      <c r="G694" s="103">
        <v>43.476799999999997</v>
      </c>
      <c r="H694" s="102">
        <v>4</v>
      </c>
      <c r="I694" s="102">
        <v>24</v>
      </c>
      <c r="J694" s="103"/>
      <c r="K694" s="103"/>
      <c r="L694" s="103"/>
      <c r="M694" s="103">
        <v>4</v>
      </c>
      <c r="N694" s="103"/>
      <c r="O694" s="103"/>
      <c r="P694" s="103"/>
      <c r="Q694" s="103"/>
      <c r="R694" s="103"/>
      <c r="S694" s="103"/>
      <c r="T694" s="103"/>
      <c r="U694" s="103"/>
      <c r="V694" s="103"/>
      <c r="W694" s="103"/>
      <c r="X694" s="103"/>
      <c r="Y694" s="103"/>
      <c r="Z694" s="103"/>
      <c r="AA694" s="103">
        <v>4</v>
      </c>
      <c r="AB694" s="103"/>
      <c r="AC694" s="103"/>
      <c r="AD694" s="103"/>
      <c r="AE694" s="103"/>
      <c r="AF694" s="103"/>
      <c r="AG694" s="103"/>
      <c r="AH694" s="103"/>
      <c r="AI694" s="103"/>
      <c r="AJ694" s="103"/>
      <c r="AK694" s="103"/>
      <c r="AL694" s="103"/>
      <c r="AM694" s="103"/>
      <c r="AN694" s="103">
        <v>4</v>
      </c>
      <c r="AO694" s="103"/>
      <c r="AP694" s="103"/>
      <c r="AQ694" s="103"/>
      <c r="AR694" s="103"/>
      <c r="AS694" s="103"/>
      <c r="AT694" s="103"/>
      <c r="AU694" s="103"/>
      <c r="AV694" s="103"/>
      <c r="AW694" s="104" t="str">
        <f>HYPERLINK("http://www.openstreetmap.org/?mlat=35.7838&amp;mlon=43.4768&amp;zoom=12#map=12/35.7838/43.4768","Maplink1")</f>
        <v>Maplink1</v>
      </c>
      <c r="AX694" s="104" t="str">
        <f>HYPERLINK("https://www.google.iq/maps/search/+35.7838,43.4768/@35.7838,43.4768,14z?hl=en","Maplink2")</f>
        <v>Maplink2</v>
      </c>
      <c r="AY694" s="104" t="str">
        <f>HYPERLINK("http://www.bing.com/maps/?lvl=14&amp;sty=h&amp;cp=35.7838~43.4768&amp;sp=point.35.7838_43.4768","Maplink3")</f>
        <v>Maplink3</v>
      </c>
    </row>
    <row r="695" spans="1:51" x14ac:dyDescent="0.2">
      <c r="A695" s="102">
        <v>34021</v>
      </c>
      <c r="B695" s="103" t="s">
        <v>33</v>
      </c>
      <c r="C695" s="103" t="s">
        <v>94</v>
      </c>
      <c r="D695" s="103" t="s">
        <v>1418</v>
      </c>
      <c r="E695" s="103" t="s">
        <v>1419</v>
      </c>
      <c r="F695" s="103">
        <v>35.616500000000002</v>
      </c>
      <c r="G695" s="103">
        <v>43.470700000000001</v>
      </c>
      <c r="H695" s="102">
        <v>55</v>
      </c>
      <c r="I695" s="102">
        <v>330</v>
      </c>
      <c r="J695" s="103"/>
      <c r="K695" s="103"/>
      <c r="L695" s="103"/>
      <c r="M695" s="103">
        <v>55</v>
      </c>
      <c r="N695" s="103"/>
      <c r="O695" s="103"/>
      <c r="P695" s="103"/>
      <c r="Q695" s="103"/>
      <c r="R695" s="103"/>
      <c r="S695" s="103"/>
      <c r="T695" s="103"/>
      <c r="U695" s="103"/>
      <c r="V695" s="103"/>
      <c r="W695" s="103"/>
      <c r="X695" s="103"/>
      <c r="Y695" s="103"/>
      <c r="Z695" s="103"/>
      <c r="AA695" s="103">
        <v>10</v>
      </c>
      <c r="AB695" s="103"/>
      <c r="AC695" s="103"/>
      <c r="AD695" s="103"/>
      <c r="AE695" s="103"/>
      <c r="AF695" s="103"/>
      <c r="AG695" s="103">
        <v>45</v>
      </c>
      <c r="AH695" s="103"/>
      <c r="AI695" s="103"/>
      <c r="AJ695" s="103"/>
      <c r="AK695" s="103"/>
      <c r="AL695" s="103"/>
      <c r="AM695" s="103"/>
      <c r="AN695" s="103"/>
      <c r="AO695" s="103">
        <v>55</v>
      </c>
      <c r="AP695" s="103"/>
      <c r="AQ695" s="103"/>
      <c r="AR695" s="103"/>
      <c r="AS695" s="103"/>
      <c r="AT695" s="103"/>
      <c r="AU695" s="103"/>
      <c r="AV695" s="103"/>
      <c r="AW695" s="104" t="str">
        <f>HYPERLINK("http://www.openstreetmap.org/?mlat=35.6165&amp;mlon=43.4707&amp;zoom=12#map=12/35.6165/43.4707","Maplink1")</f>
        <v>Maplink1</v>
      </c>
      <c r="AX695" s="104" t="str">
        <f>HYPERLINK("https://www.google.iq/maps/search/+35.6165,43.4707/@35.6165,43.4707,14z?hl=en","Maplink2")</f>
        <v>Maplink2</v>
      </c>
      <c r="AY695" s="104" t="str">
        <f>HYPERLINK("http://www.bing.com/maps/?lvl=14&amp;sty=h&amp;cp=35.6165~43.4707&amp;sp=point.35.6165_43.4707","Maplink3")</f>
        <v>Maplink3</v>
      </c>
    </row>
    <row r="696" spans="1:51" x14ac:dyDescent="0.2">
      <c r="A696" s="102">
        <v>13532</v>
      </c>
      <c r="B696" s="103" t="s">
        <v>33</v>
      </c>
      <c r="C696" s="103" t="s">
        <v>94</v>
      </c>
      <c r="D696" s="103" t="s">
        <v>1420</v>
      </c>
      <c r="E696" s="103" t="s">
        <v>1421</v>
      </c>
      <c r="F696" s="103">
        <v>35.662999999999997</v>
      </c>
      <c r="G696" s="103">
        <v>43.6004</v>
      </c>
      <c r="H696" s="102">
        <v>5</v>
      </c>
      <c r="I696" s="102">
        <v>30</v>
      </c>
      <c r="J696" s="103"/>
      <c r="K696" s="103"/>
      <c r="L696" s="103"/>
      <c r="M696" s="103">
        <v>5</v>
      </c>
      <c r="N696" s="103"/>
      <c r="O696" s="103"/>
      <c r="P696" s="103"/>
      <c r="Q696" s="103"/>
      <c r="R696" s="103"/>
      <c r="S696" s="103"/>
      <c r="T696" s="103"/>
      <c r="U696" s="103"/>
      <c r="V696" s="103"/>
      <c r="W696" s="103"/>
      <c r="X696" s="103"/>
      <c r="Y696" s="103"/>
      <c r="Z696" s="103"/>
      <c r="AA696" s="103">
        <v>5</v>
      </c>
      <c r="AB696" s="103"/>
      <c r="AC696" s="103"/>
      <c r="AD696" s="103"/>
      <c r="AE696" s="103"/>
      <c r="AF696" s="103"/>
      <c r="AG696" s="103"/>
      <c r="AH696" s="103"/>
      <c r="AI696" s="103"/>
      <c r="AJ696" s="103"/>
      <c r="AK696" s="103"/>
      <c r="AL696" s="103"/>
      <c r="AM696" s="103"/>
      <c r="AN696" s="103"/>
      <c r="AO696" s="103">
        <v>5</v>
      </c>
      <c r="AP696" s="103"/>
      <c r="AQ696" s="103"/>
      <c r="AR696" s="103"/>
      <c r="AS696" s="103"/>
      <c r="AT696" s="103"/>
      <c r="AU696" s="103"/>
      <c r="AV696" s="103"/>
      <c r="AW696" s="104" t="str">
        <f>HYPERLINK("http://www.openstreetmap.org/?mlat=35.663&amp;mlon=43.6004&amp;zoom=12#map=12/35.663/43.6004","Maplink1")</f>
        <v>Maplink1</v>
      </c>
      <c r="AX696" s="104" t="str">
        <f>HYPERLINK("https://www.google.iq/maps/search/+35.663,43.6004/@35.663,43.6004,14z?hl=en","Maplink2")</f>
        <v>Maplink2</v>
      </c>
      <c r="AY696" s="104" t="str">
        <f>HYPERLINK("http://www.bing.com/maps/?lvl=14&amp;sty=h&amp;cp=35.663~43.6004&amp;sp=point.35.663_43.6004","Maplink3")</f>
        <v>Maplink3</v>
      </c>
    </row>
    <row r="697" spans="1:51" x14ac:dyDescent="0.2">
      <c r="A697" s="102">
        <v>34023</v>
      </c>
      <c r="B697" s="103" t="s">
        <v>33</v>
      </c>
      <c r="C697" s="103" t="s">
        <v>94</v>
      </c>
      <c r="D697" s="103" t="s">
        <v>1422</v>
      </c>
      <c r="E697" s="103" t="s">
        <v>1423</v>
      </c>
      <c r="F697" s="103">
        <v>35.647399999999998</v>
      </c>
      <c r="G697" s="103">
        <v>43.6648</v>
      </c>
      <c r="H697" s="102">
        <v>6</v>
      </c>
      <c r="I697" s="102">
        <v>36</v>
      </c>
      <c r="J697" s="103"/>
      <c r="K697" s="103"/>
      <c r="L697" s="103"/>
      <c r="M697" s="103">
        <v>6</v>
      </c>
      <c r="N697" s="103"/>
      <c r="O697" s="103"/>
      <c r="P697" s="103"/>
      <c r="Q697" s="103"/>
      <c r="R697" s="103"/>
      <c r="S697" s="103"/>
      <c r="T697" s="103"/>
      <c r="U697" s="103"/>
      <c r="V697" s="103"/>
      <c r="W697" s="103"/>
      <c r="X697" s="103"/>
      <c r="Y697" s="103"/>
      <c r="Z697" s="103"/>
      <c r="AA697" s="103">
        <v>6</v>
      </c>
      <c r="AB697" s="103"/>
      <c r="AC697" s="103"/>
      <c r="AD697" s="103"/>
      <c r="AE697" s="103"/>
      <c r="AF697" s="103"/>
      <c r="AG697" s="103"/>
      <c r="AH697" s="103"/>
      <c r="AI697" s="103"/>
      <c r="AJ697" s="103"/>
      <c r="AK697" s="103"/>
      <c r="AL697" s="103"/>
      <c r="AM697" s="103"/>
      <c r="AN697" s="103"/>
      <c r="AO697" s="103">
        <v>6</v>
      </c>
      <c r="AP697" s="103"/>
      <c r="AQ697" s="103"/>
      <c r="AR697" s="103"/>
      <c r="AS697" s="103"/>
      <c r="AT697" s="103"/>
      <c r="AU697" s="103"/>
      <c r="AV697" s="103"/>
      <c r="AW697" s="104" t="str">
        <f>HYPERLINK("http://www.openstreetmap.org/?mlat=35.6474&amp;mlon=43.6648&amp;zoom=12#map=12/35.6474/43.6648","Maplink1")</f>
        <v>Maplink1</v>
      </c>
      <c r="AX697" s="104" t="str">
        <f>HYPERLINK("https://www.google.iq/maps/search/+35.6474,43.6648/@35.6474,43.6648,14z?hl=en","Maplink2")</f>
        <v>Maplink2</v>
      </c>
      <c r="AY697" s="104" t="str">
        <f>HYPERLINK("http://www.bing.com/maps/?lvl=14&amp;sty=h&amp;cp=35.6474~43.6648&amp;sp=point.35.6474_43.6648","Maplink3")</f>
        <v>Maplink3</v>
      </c>
    </row>
    <row r="698" spans="1:51" x14ac:dyDescent="0.2">
      <c r="A698" s="102">
        <v>13454</v>
      </c>
      <c r="B698" s="103" t="s">
        <v>33</v>
      </c>
      <c r="C698" s="103" t="s">
        <v>94</v>
      </c>
      <c r="D698" s="103" t="s">
        <v>1544</v>
      </c>
      <c r="E698" s="103" t="s">
        <v>1545</v>
      </c>
      <c r="F698" s="103">
        <v>35.7179</v>
      </c>
      <c r="G698" s="103">
        <v>43.603700000000003</v>
      </c>
      <c r="H698" s="102">
        <v>6</v>
      </c>
      <c r="I698" s="102">
        <v>36</v>
      </c>
      <c r="J698" s="103"/>
      <c r="K698" s="103"/>
      <c r="L698" s="103"/>
      <c r="M698" s="103">
        <v>6</v>
      </c>
      <c r="N698" s="103"/>
      <c r="O698" s="103"/>
      <c r="P698" s="103"/>
      <c r="Q698" s="103"/>
      <c r="R698" s="103"/>
      <c r="S698" s="103"/>
      <c r="T698" s="103"/>
      <c r="U698" s="103"/>
      <c r="V698" s="103"/>
      <c r="W698" s="103"/>
      <c r="X698" s="103"/>
      <c r="Y698" s="103"/>
      <c r="Z698" s="103"/>
      <c r="AA698" s="103">
        <v>6</v>
      </c>
      <c r="AB698" s="103"/>
      <c r="AC698" s="103"/>
      <c r="AD698" s="103"/>
      <c r="AE698" s="103"/>
      <c r="AF698" s="103"/>
      <c r="AG698" s="103"/>
      <c r="AH698" s="103"/>
      <c r="AI698" s="103"/>
      <c r="AJ698" s="103"/>
      <c r="AK698" s="103"/>
      <c r="AL698" s="103"/>
      <c r="AM698" s="103"/>
      <c r="AN698" s="103"/>
      <c r="AO698" s="103">
        <v>6</v>
      </c>
      <c r="AP698" s="103"/>
      <c r="AQ698" s="103"/>
      <c r="AR698" s="103"/>
      <c r="AS698" s="103"/>
      <c r="AT698" s="103"/>
      <c r="AU698" s="103"/>
      <c r="AV698" s="103"/>
      <c r="AW698" s="104" t="str">
        <f>HYPERLINK("http://www.openstreetmap.org/?mlat=35.7179&amp;mlon=43.6037&amp;zoom=12#map=12/35.7179/43.6037","Maplink1")</f>
        <v>Maplink1</v>
      </c>
      <c r="AX698" s="104" t="str">
        <f>HYPERLINK("https://www.google.iq/maps/search/+35.7179,43.6037/@35.7179,43.6037,14z?hl=en","Maplink2")</f>
        <v>Maplink2</v>
      </c>
      <c r="AY698" s="104" t="str">
        <f>HYPERLINK("http://www.bing.com/maps/?lvl=14&amp;sty=h&amp;cp=35.7179~43.6037&amp;sp=point.35.7179_43.6037","Maplink3")</f>
        <v>Maplink3</v>
      </c>
    </row>
    <row r="699" spans="1:51" x14ac:dyDescent="0.2">
      <c r="A699" s="102">
        <v>22976</v>
      </c>
      <c r="B699" s="103" t="s">
        <v>33</v>
      </c>
      <c r="C699" s="103" t="s">
        <v>94</v>
      </c>
      <c r="D699" s="103" t="s">
        <v>1536</v>
      </c>
      <c r="E699" s="103" t="s">
        <v>1537</v>
      </c>
      <c r="F699" s="103">
        <v>35.777312680000001</v>
      </c>
      <c r="G699" s="103">
        <v>43.572809526699999</v>
      </c>
      <c r="H699" s="102">
        <v>270</v>
      </c>
      <c r="I699" s="102">
        <v>1620</v>
      </c>
      <c r="J699" s="103"/>
      <c r="K699" s="103"/>
      <c r="L699" s="103"/>
      <c r="M699" s="103">
        <v>270</v>
      </c>
      <c r="N699" s="103"/>
      <c r="O699" s="103"/>
      <c r="P699" s="103"/>
      <c r="Q699" s="103"/>
      <c r="R699" s="103"/>
      <c r="S699" s="103"/>
      <c r="T699" s="103"/>
      <c r="U699" s="103"/>
      <c r="V699" s="103"/>
      <c r="W699" s="103"/>
      <c r="X699" s="103"/>
      <c r="Y699" s="103"/>
      <c r="Z699" s="103"/>
      <c r="AA699" s="103">
        <v>200</v>
      </c>
      <c r="AB699" s="103"/>
      <c r="AC699" s="103"/>
      <c r="AD699" s="103"/>
      <c r="AE699" s="103"/>
      <c r="AF699" s="103"/>
      <c r="AG699" s="103">
        <v>70</v>
      </c>
      <c r="AH699" s="103"/>
      <c r="AI699" s="103"/>
      <c r="AJ699" s="103"/>
      <c r="AK699" s="103"/>
      <c r="AL699" s="103"/>
      <c r="AM699" s="103"/>
      <c r="AN699" s="103"/>
      <c r="AO699" s="103"/>
      <c r="AP699" s="103"/>
      <c r="AQ699" s="103"/>
      <c r="AR699" s="103"/>
      <c r="AS699" s="103"/>
      <c r="AT699" s="103">
        <v>270</v>
      </c>
      <c r="AU699" s="103"/>
      <c r="AV699" s="103"/>
      <c r="AW699" s="104" t="str">
        <f>HYPERLINK("http://www.openstreetmap.org/?mlat=35.7773&amp;mlon=43.5728&amp;zoom=12#map=12/35.7773/43.5728","Maplink1")</f>
        <v>Maplink1</v>
      </c>
      <c r="AX699" s="104" t="str">
        <f>HYPERLINK("https://www.google.iq/maps/search/+35.7773,43.5728/@35.7773,43.5728,14z?hl=en","Maplink2")</f>
        <v>Maplink2</v>
      </c>
      <c r="AY699" s="104" t="str">
        <f>HYPERLINK("http://www.bing.com/maps/?lvl=14&amp;sty=h&amp;cp=35.7773~43.5728&amp;sp=point.35.7773_43.5728","Maplink3")</f>
        <v>Maplink3</v>
      </c>
    </row>
    <row r="700" spans="1:51" x14ac:dyDescent="0.2">
      <c r="A700" s="102">
        <v>12531</v>
      </c>
      <c r="B700" s="103" t="s">
        <v>33</v>
      </c>
      <c r="C700" s="103" t="s">
        <v>94</v>
      </c>
      <c r="D700" s="103" t="s">
        <v>1538</v>
      </c>
      <c r="E700" s="103" t="s">
        <v>1539</v>
      </c>
      <c r="F700" s="103">
        <v>35.769199999999998</v>
      </c>
      <c r="G700" s="103">
        <v>43.361708167300002</v>
      </c>
      <c r="H700" s="102">
        <v>100</v>
      </c>
      <c r="I700" s="102">
        <v>600</v>
      </c>
      <c r="J700" s="103"/>
      <c r="K700" s="103"/>
      <c r="L700" s="103"/>
      <c r="M700" s="103">
        <v>100</v>
      </c>
      <c r="N700" s="103"/>
      <c r="O700" s="103"/>
      <c r="P700" s="103"/>
      <c r="Q700" s="103"/>
      <c r="R700" s="103"/>
      <c r="S700" s="103"/>
      <c r="T700" s="103"/>
      <c r="U700" s="103"/>
      <c r="V700" s="103"/>
      <c r="W700" s="103"/>
      <c r="X700" s="103"/>
      <c r="Y700" s="103"/>
      <c r="Z700" s="103"/>
      <c r="AA700" s="103">
        <v>80</v>
      </c>
      <c r="AB700" s="103"/>
      <c r="AC700" s="103">
        <v>20</v>
      </c>
      <c r="AD700" s="103"/>
      <c r="AE700" s="103"/>
      <c r="AF700" s="103"/>
      <c r="AG700" s="103"/>
      <c r="AH700" s="103"/>
      <c r="AI700" s="103"/>
      <c r="AJ700" s="103"/>
      <c r="AK700" s="103"/>
      <c r="AL700" s="103"/>
      <c r="AM700" s="103"/>
      <c r="AN700" s="103">
        <v>70</v>
      </c>
      <c r="AO700" s="103"/>
      <c r="AP700" s="103">
        <v>10</v>
      </c>
      <c r="AQ700" s="103"/>
      <c r="AR700" s="103"/>
      <c r="AS700" s="103"/>
      <c r="AT700" s="103">
        <v>20</v>
      </c>
      <c r="AU700" s="103"/>
      <c r="AV700" s="103"/>
      <c r="AW700" s="104" t="str">
        <f>HYPERLINK("http://www.openstreetmap.org/?mlat=35.7692&amp;mlon=43.3617&amp;zoom=12#map=12/35.7692/43.3617","Maplink1")</f>
        <v>Maplink1</v>
      </c>
      <c r="AX700" s="104" t="str">
        <f>HYPERLINK("https://www.google.iq/maps/search/+35.7692,43.3617/@35.7692,43.3617,14z?hl=en","Maplink2")</f>
        <v>Maplink2</v>
      </c>
      <c r="AY700" s="104" t="str">
        <f>HYPERLINK("http://www.bing.com/maps/?lvl=14&amp;sty=h&amp;cp=35.7692~43.3617&amp;sp=point.35.7692_43.3617","Maplink3")</f>
        <v>Maplink3</v>
      </c>
    </row>
    <row r="701" spans="1:51" x14ac:dyDescent="0.2">
      <c r="A701" s="102">
        <v>13506</v>
      </c>
      <c r="B701" s="103" t="s">
        <v>33</v>
      </c>
      <c r="C701" s="103" t="s">
        <v>94</v>
      </c>
      <c r="D701" s="103" t="s">
        <v>1540</v>
      </c>
      <c r="E701" s="103" t="s">
        <v>1541</v>
      </c>
      <c r="F701" s="103">
        <v>35.517800000000001</v>
      </c>
      <c r="G701" s="103">
        <v>43.561399999999999</v>
      </c>
      <c r="H701" s="102">
        <v>4</v>
      </c>
      <c r="I701" s="102">
        <v>24</v>
      </c>
      <c r="J701" s="103"/>
      <c r="K701" s="103"/>
      <c r="L701" s="103"/>
      <c r="M701" s="103">
        <v>4</v>
      </c>
      <c r="N701" s="103"/>
      <c r="O701" s="103"/>
      <c r="P701" s="103"/>
      <c r="Q701" s="103"/>
      <c r="R701" s="103"/>
      <c r="S701" s="103"/>
      <c r="T701" s="103"/>
      <c r="U701" s="103"/>
      <c r="V701" s="103"/>
      <c r="W701" s="103"/>
      <c r="X701" s="103"/>
      <c r="Y701" s="103"/>
      <c r="Z701" s="103"/>
      <c r="AA701" s="103">
        <v>1</v>
      </c>
      <c r="AB701" s="103"/>
      <c r="AC701" s="103"/>
      <c r="AD701" s="103"/>
      <c r="AE701" s="103"/>
      <c r="AF701" s="103"/>
      <c r="AG701" s="103">
        <v>3</v>
      </c>
      <c r="AH701" s="103"/>
      <c r="AI701" s="103"/>
      <c r="AJ701" s="103"/>
      <c r="AK701" s="103"/>
      <c r="AL701" s="103"/>
      <c r="AM701" s="103"/>
      <c r="AN701" s="103"/>
      <c r="AO701" s="103">
        <v>4</v>
      </c>
      <c r="AP701" s="103"/>
      <c r="AQ701" s="103"/>
      <c r="AR701" s="103"/>
      <c r="AS701" s="103"/>
      <c r="AT701" s="103"/>
      <c r="AU701" s="103"/>
      <c r="AV701" s="103"/>
      <c r="AW701" s="104" t="str">
        <f>HYPERLINK("http://www.openstreetmap.org/?mlat=35.5178&amp;mlon=43.5614&amp;zoom=12#map=12/35.5178/43.5614","Maplink1")</f>
        <v>Maplink1</v>
      </c>
      <c r="AX701" s="104" t="str">
        <f>HYPERLINK("https://www.google.iq/maps/search/+35.5178,43.5614/@35.5178,43.5614,14z?hl=en","Maplink2")</f>
        <v>Maplink2</v>
      </c>
      <c r="AY701" s="104" t="str">
        <f>HYPERLINK("http://www.bing.com/maps/?lvl=14&amp;sty=h&amp;cp=35.5178~43.5614&amp;sp=point.35.5178_43.5614","Maplink3")</f>
        <v>Maplink3</v>
      </c>
    </row>
    <row r="702" spans="1:51" x14ac:dyDescent="0.2">
      <c r="A702" s="102">
        <v>13271</v>
      </c>
      <c r="B702" s="103" t="s">
        <v>33</v>
      </c>
      <c r="C702" s="103" t="s">
        <v>94</v>
      </c>
      <c r="D702" s="103" t="s">
        <v>1542</v>
      </c>
      <c r="E702" s="103" t="s">
        <v>1543</v>
      </c>
      <c r="F702" s="103">
        <v>35.700899999999997</v>
      </c>
      <c r="G702" s="103">
        <v>43.661799999999999</v>
      </c>
      <c r="H702" s="102">
        <v>10</v>
      </c>
      <c r="I702" s="102">
        <v>60</v>
      </c>
      <c r="J702" s="103"/>
      <c r="K702" s="103"/>
      <c r="L702" s="103"/>
      <c r="M702" s="103">
        <v>10</v>
      </c>
      <c r="N702" s="103"/>
      <c r="O702" s="103"/>
      <c r="P702" s="103"/>
      <c r="Q702" s="103"/>
      <c r="R702" s="103"/>
      <c r="S702" s="103"/>
      <c r="T702" s="103"/>
      <c r="U702" s="103"/>
      <c r="V702" s="103"/>
      <c r="W702" s="103"/>
      <c r="X702" s="103"/>
      <c r="Y702" s="103"/>
      <c r="Z702" s="103"/>
      <c r="AA702" s="103">
        <v>10</v>
      </c>
      <c r="AB702" s="103"/>
      <c r="AC702" s="103"/>
      <c r="AD702" s="103"/>
      <c r="AE702" s="103"/>
      <c r="AF702" s="103"/>
      <c r="AG702" s="103"/>
      <c r="AH702" s="103"/>
      <c r="AI702" s="103"/>
      <c r="AJ702" s="103"/>
      <c r="AK702" s="103"/>
      <c r="AL702" s="103"/>
      <c r="AM702" s="103"/>
      <c r="AN702" s="103"/>
      <c r="AO702" s="103">
        <v>10</v>
      </c>
      <c r="AP702" s="103"/>
      <c r="AQ702" s="103"/>
      <c r="AR702" s="103"/>
      <c r="AS702" s="103"/>
      <c r="AT702" s="103"/>
      <c r="AU702" s="103"/>
      <c r="AV702" s="103"/>
      <c r="AW702" s="104" t="str">
        <f>HYPERLINK("http://www.openstreetmap.org/?mlat=35.7009&amp;mlon=43.6618&amp;zoom=12#map=12/35.7009/43.6618","Maplink1")</f>
        <v>Maplink1</v>
      </c>
      <c r="AX702" s="104" t="str">
        <f>HYPERLINK("https://www.google.iq/maps/search/+35.7009,43.6618/@35.7009,43.6618,14z?hl=en","Maplink2")</f>
        <v>Maplink2</v>
      </c>
      <c r="AY702" s="104" t="str">
        <f>HYPERLINK("http://www.bing.com/maps/?lvl=14&amp;sty=h&amp;cp=35.7009~43.6618&amp;sp=point.35.7009_43.6618","Maplink3")</f>
        <v>Maplink3</v>
      </c>
    </row>
    <row r="703" spans="1:51" x14ac:dyDescent="0.2">
      <c r="A703" s="102">
        <v>33845</v>
      </c>
      <c r="B703" s="103" t="s">
        <v>33</v>
      </c>
      <c r="C703" s="103" t="s">
        <v>94</v>
      </c>
      <c r="D703" s="103" t="s">
        <v>1428</v>
      </c>
      <c r="E703" s="103" t="s">
        <v>1429</v>
      </c>
      <c r="F703" s="103">
        <v>36.031109999999998</v>
      </c>
      <c r="G703" s="103">
        <v>43.598329999999997</v>
      </c>
      <c r="H703" s="102">
        <v>50</v>
      </c>
      <c r="I703" s="102">
        <v>300</v>
      </c>
      <c r="J703" s="103"/>
      <c r="K703" s="103"/>
      <c r="L703" s="103"/>
      <c r="M703" s="103">
        <v>50</v>
      </c>
      <c r="N703" s="103"/>
      <c r="O703" s="103"/>
      <c r="P703" s="103"/>
      <c r="Q703" s="103"/>
      <c r="R703" s="103"/>
      <c r="S703" s="103"/>
      <c r="T703" s="103"/>
      <c r="U703" s="103"/>
      <c r="V703" s="103"/>
      <c r="W703" s="103"/>
      <c r="X703" s="103"/>
      <c r="Y703" s="103"/>
      <c r="Z703" s="103"/>
      <c r="AA703" s="103">
        <v>50</v>
      </c>
      <c r="AB703" s="103"/>
      <c r="AC703" s="103"/>
      <c r="AD703" s="103"/>
      <c r="AE703" s="103"/>
      <c r="AF703" s="103"/>
      <c r="AG703" s="103"/>
      <c r="AH703" s="103"/>
      <c r="AI703" s="103"/>
      <c r="AJ703" s="103"/>
      <c r="AK703" s="103"/>
      <c r="AL703" s="103"/>
      <c r="AM703" s="103"/>
      <c r="AN703" s="103"/>
      <c r="AO703" s="103"/>
      <c r="AP703" s="103"/>
      <c r="AQ703" s="103"/>
      <c r="AR703" s="103"/>
      <c r="AS703" s="103"/>
      <c r="AT703" s="103">
        <v>50</v>
      </c>
      <c r="AU703" s="103"/>
      <c r="AV703" s="103"/>
      <c r="AW703" s="104" t="str">
        <f>HYPERLINK("http://www.openstreetmap.org/?mlat=36.0311&amp;mlon=43.5983&amp;zoom=12#map=12/36.0311/43.5983","Maplink1")</f>
        <v>Maplink1</v>
      </c>
      <c r="AX703" s="104" t="str">
        <f>HYPERLINK("https://www.google.iq/maps/search/+36.0311,43.5983/@36.0311,43.5983,14z?hl=en","Maplink2")</f>
        <v>Maplink2</v>
      </c>
      <c r="AY703" s="104" t="str">
        <f>HYPERLINK("http://www.bing.com/maps/?lvl=14&amp;sty=h&amp;cp=36.0311~43.5983&amp;sp=point.36.0311_43.5983","Maplink3")</f>
        <v>Maplink3</v>
      </c>
    </row>
    <row r="704" spans="1:51" x14ac:dyDescent="0.2">
      <c r="A704" s="102">
        <v>33849</v>
      </c>
      <c r="B704" s="103" t="s">
        <v>33</v>
      </c>
      <c r="C704" s="103" t="s">
        <v>94</v>
      </c>
      <c r="D704" s="103" t="s">
        <v>1430</v>
      </c>
      <c r="E704" s="103" t="s">
        <v>1431</v>
      </c>
      <c r="F704" s="103">
        <v>35.647462400000002</v>
      </c>
      <c r="G704" s="103">
        <v>43.546714799999997</v>
      </c>
      <c r="H704" s="102">
        <v>515</v>
      </c>
      <c r="I704" s="102">
        <v>3090</v>
      </c>
      <c r="J704" s="103"/>
      <c r="K704" s="103"/>
      <c r="L704" s="103">
        <v>30</v>
      </c>
      <c r="M704" s="103">
        <v>485</v>
      </c>
      <c r="N704" s="103"/>
      <c r="O704" s="103"/>
      <c r="P704" s="103"/>
      <c r="Q704" s="103"/>
      <c r="R704" s="103"/>
      <c r="S704" s="103"/>
      <c r="T704" s="103"/>
      <c r="U704" s="103"/>
      <c r="V704" s="103"/>
      <c r="W704" s="103"/>
      <c r="X704" s="103"/>
      <c r="Y704" s="103"/>
      <c r="Z704" s="103"/>
      <c r="AA704" s="103">
        <v>31</v>
      </c>
      <c r="AB704" s="103"/>
      <c r="AC704" s="103">
        <v>80</v>
      </c>
      <c r="AD704" s="103"/>
      <c r="AE704" s="103"/>
      <c r="AF704" s="103"/>
      <c r="AG704" s="103">
        <v>404</v>
      </c>
      <c r="AH704" s="103"/>
      <c r="AI704" s="103"/>
      <c r="AJ704" s="103"/>
      <c r="AK704" s="103"/>
      <c r="AL704" s="103"/>
      <c r="AM704" s="103"/>
      <c r="AN704" s="103"/>
      <c r="AO704" s="103">
        <v>411</v>
      </c>
      <c r="AP704" s="103">
        <v>104</v>
      </c>
      <c r="AQ704" s="103"/>
      <c r="AR704" s="103"/>
      <c r="AS704" s="103"/>
      <c r="AT704" s="103"/>
      <c r="AU704" s="103"/>
      <c r="AV704" s="103"/>
      <c r="AW704" s="104" t="str">
        <f>HYPERLINK("http://www.openstreetmap.org/?mlat=35.6475&amp;mlon=43.5467&amp;zoom=12#map=12/35.6475/43.5467","Maplink1")</f>
        <v>Maplink1</v>
      </c>
      <c r="AX704" s="104" t="str">
        <f>HYPERLINK("https://www.google.iq/maps/search/+35.6475,43.5467/@35.6475,43.5467,14z?hl=en","Maplink2")</f>
        <v>Maplink2</v>
      </c>
      <c r="AY704" s="104" t="str">
        <f>HYPERLINK("http://www.bing.com/maps/?lvl=14&amp;sty=h&amp;cp=35.6475~43.5467&amp;sp=point.35.6475_43.5467","Maplink3")</f>
        <v>Maplink3</v>
      </c>
    </row>
    <row r="705" spans="1:51" x14ac:dyDescent="0.2">
      <c r="A705" s="102">
        <v>11934</v>
      </c>
      <c r="B705" s="103" t="s">
        <v>33</v>
      </c>
      <c r="C705" s="103" t="s">
        <v>94</v>
      </c>
      <c r="D705" s="103" t="s">
        <v>1432</v>
      </c>
      <c r="E705" s="103" t="s">
        <v>1433</v>
      </c>
      <c r="F705" s="103">
        <v>35.603200000000001</v>
      </c>
      <c r="G705" s="103">
        <v>43.531700000000001</v>
      </c>
      <c r="H705" s="102">
        <v>12</v>
      </c>
      <c r="I705" s="102">
        <v>72</v>
      </c>
      <c r="J705" s="103"/>
      <c r="K705" s="103"/>
      <c r="L705" s="103"/>
      <c r="M705" s="103">
        <v>12</v>
      </c>
      <c r="N705" s="103"/>
      <c r="O705" s="103"/>
      <c r="P705" s="103"/>
      <c r="Q705" s="103"/>
      <c r="R705" s="103"/>
      <c r="S705" s="103"/>
      <c r="T705" s="103"/>
      <c r="U705" s="103"/>
      <c r="V705" s="103"/>
      <c r="W705" s="103"/>
      <c r="X705" s="103"/>
      <c r="Y705" s="103"/>
      <c r="Z705" s="103"/>
      <c r="AA705" s="103">
        <v>9</v>
      </c>
      <c r="AB705" s="103"/>
      <c r="AC705" s="103"/>
      <c r="AD705" s="103"/>
      <c r="AE705" s="103"/>
      <c r="AF705" s="103"/>
      <c r="AG705" s="103">
        <v>3</v>
      </c>
      <c r="AH705" s="103"/>
      <c r="AI705" s="103"/>
      <c r="AJ705" s="103"/>
      <c r="AK705" s="103"/>
      <c r="AL705" s="103"/>
      <c r="AM705" s="103"/>
      <c r="AN705" s="103"/>
      <c r="AO705" s="103">
        <v>12</v>
      </c>
      <c r="AP705" s="103"/>
      <c r="AQ705" s="103"/>
      <c r="AR705" s="103"/>
      <c r="AS705" s="103"/>
      <c r="AT705" s="103"/>
      <c r="AU705" s="103"/>
      <c r="AV705" s="103"/>
      <c r="AW705" s="104" t="str">
        <f>HYPERLINK("http://www.openstreetmap.org/?mlat=35.6032&amp;mlon=43.5317&amp;zoom=12#map=12/35.6032/43.5317","Maplink1")</f>
        <v>Maplink1</v>
      </c>
      <c r="AX705" s="104" t="str">
        <f>HYPERLINK("https://www.google.iq/maps/search/+35.6032,43.5317/@35.6032,43.5317,14z?hl=en","Maplink2")</f>
        <v>Maplink2</v>
      </c>
      <c r="AY705" s="104" t="str">
        <f>HYPERLINK("http://www.bing.com/maps/?lvl=14&amp;sty=h&amp;cp=35.6032~43.5317&amp;sp=point.35.6032_43.5317","Maplink3")</f>
        <v>Maplink3</v>
      </c>
    </row>
    <row r="706" spans="1:51" x14ac:dyDescent="0.2">
      <c r="A706" s="102">
        <v>13507</v>
      </c>
      <c r="B706" s="103" t="s">
        <v>33</v>
      </c>
      <c r="C706" s="103" t="s">
        <v>94</v>
      </c>
      <c r="D706" s="103" t="s">
        <v>1532</v>
      </c>
      <c r="E706" s="103" t="s">
        <v>1533</v>
      </c>
      <c r="F706" s="103">
        <v>35.521799999999999</v>
      </c>
      <c r="G706" s="103">
        <v>43.497500000000002</v>
      </c>
      <c r="H706" s="102">
        <v>65</v>
      </c>
      <c r="I706" s="102">
        <v>390</v>
      </c>
      <c r="J706" s="103"/>
      <c r="K706" s="103"/>
      <c r="L706" s="103"/>
      <c r="M706" s="103">
        <v>65</v>
      </c>
      <c r="N706" s="103"/>
      <c r="O706" s="103"/>
      <c r="P706" s="103"/>
      <c r="Q706" s="103"/>
      <c r="R706" s="103"/>
      <c r="S706" s="103"/>
      <c r="T706" s="103"/>
      <c r="U706" s="103"/>
      <c r="V706" s="103"/>
      <c r="W706" s="103"/>
      <c r="X706" s="103"/>
      <c r="Y706" s="103"/>
      <c r="Z706" s="103"/>
      <c r="AA706" s="103"/>
      <c r="AB706" s="103"/>
      <c r="AC706" s="103"/>
      <c r="AD706" s="103"/>
      <c r="AE706" s="103"/>
      <c r="AF706" s="103"/>
      <c r="AG706" s="103">
        <v>65</v>
      </c>
      <c r="AH706" s="103"/>
      <c r="AI706" s="103"/>
      <c r="AJ706" s="103"/>
      <c r="AK706" s="103"/>
      <c r="AL706" s="103"/>
      <c r="AM706" s="103"/>
      <c r="AN706" s="103"/>
      <c r="AO706" s="103">
        <v>65</v>
      </c>
      <c r="AP706" s="103"/>
      <c r="AQ706" s="103"/>
      <c r="AR706" s="103"/>
      <c r="AS706" s="103"/>
      <c r="AT706" s="103"/>
      <c r="AU706" s="103"/>
      <c r="AV706" s="103"/>
      <c r="AW706" s="104" t="str">
        <f>HYPERLINK("http://www.openstreetmap.org/?mlat=35.5218&amp;mlon=43.4975&amp;zoom=12#map=12/35.5218/43.4975","Maplink1")</f>
        <v>Maplink1</v>
      </c>
      <c r="AX706" s="104" t="str">
        <f>HYPERLINK("https://www.google.iq/maps/search/+35.5218,43.4975/@35.5218,43.4975,14z?hl=en","Maplink2")</f>
        <v>Maplink2</v>
      </c>
      <c r="AY706" s="104" t="str">
        <f>HYPERLINK("http://www.bing.com/maps/?lvl=14&amp;sty=h&amp;cp=35.5218~43.4975&amp;sp=point.35.5218_43.4975","Maplink3")</f>
        <v>Maplink3</v>
      </c>
    </row>
    <row r="707" spans="1:51" x14ac:dyDescent="0.2">
      <c r="A707" s="102">
        <v>13517</v>
      </c>
      <c r="B707" s="103" t="s">
        <v>33</v>
      </c>
      <c r="C707" s="103" t="s">
        <v>94</v>
      </c>
      <c r="D707" s="103" t="s">
        <v>1534</v>
      </c>
      <c r="E707" s="103" t="s">
        <v>1535</v>
      </c>
      <c r="F707" s="103">
        <v>35.587299999999999</v>
      </c>
      <c r="G707" s="103">
        <v>43.547899999999998</v>
      </c>
      <c r="H707" s="102">
        <v>20</v>
      </c>
      <c r="I707" s="102">
        <v>120</v>
      </c>
      <c r="J707" s="103"/>
      <c r="K707" s="103"/>
      <c r="L707" s="103"/>
      <c r="M707" s="103">
        <v>20</v>
      </c>
      <c r="N707" s="103"/>
      <c r="O707" s="103"/>
      <c r="P707" s="103"/>
      <c r="Q707" s="103"/>
      <c r="R707" s="103"/>
      <c r="S707" s="103"/>
      <c r="T707" s="103"/>
      <c r="U707" s="103"/>
      <c r="V707" s="103"/>
      <c r="W707" s="103"/>
      <c r="X707" s="103"/>
      <c r="Y707" s="103"/>
      <c r="Z707" s="103"/>
      <c r="AA707" s="103">
        <v>9</v>
      </c>
      <c r="AB707" s="103"/>
      <c r="AC707" s="103"/>
      <c r="AD707" s="103"/>
      <c r="AE707" s="103"/>
      <c r="AF707" s="103"/>
      <c r="AG707" s="103">
        <v>11</v>
      </c>
      <c r="AH707" s="103"/>
      <c r="AI707" s="103"/>
      <c r="AJ707" s="103"/>
      <c r="AK707" s="103"/>
      <c r="AL707" s="103"/>
      <c r="AM707" s="103"/>
      <c r="AN707" s="103"/>
      <c r="AO707" s="103">
        <v>20</v>
      </c>
      <c r="AP707" s="103"/>
      <c r="AQ707" s="103"/>
      <c r="AR707" s="103"/>
      <c r="AS707" s="103"/>
      <c r="AT707" s="103"/>
      <c r="AU707" s="103"/>
      <c r="AV707" s="103"/>
      <c r="AW707" s="104" t="str">
        <f>HYPERLINK("http://www.openstreetmap.org/?mlat=35.5873&amp;mlon=43.5479&amp;zoom=12#map=12/35.5873/43.5479","Maplink1")</f>
        <v>Maplink1</v>
      </c>
      <c r="AX707" s="104" t="str">
        <f>HYPERLINK("https://www.google.iq/maps/search/+35.5873,43.5479/@35.5873,43.5479,14z?hl=en","Maplink2")</f>
        <v>Maplink2</v>
      </c>
      <c r="AY707" s="104" t="str">
        <f>HYPERLINK("http://www.bing.com/maps/?lvl=14&amp;sty=h&amp;cp=35.5873~43.5479&amp;sp=point.35.5873_43.5479","Maplink3")</f>
        <v>Maplink3</v>
      </c>
    </row>
    <row r="708" spans="1:51" x14ac:dyDescent="0.2">
      <c r="A708" s="102">
        <v>13516</v>
      </c>
      <c r="B708" s="103" t="s">
        <v>33</v>
      </c>
      <c r="C708" s="103" t="s">
        <v>94</v>
      </c>
      <c r="D708" s="103" t="s">
        <v>1524</v>
      </c>
      <c r="E708" s="103" t="s">
        <v>1525</v>
      </c>
      <c r="F708" s="103">
        <v>35.567999999999998</v>
      </c>
      <c r="G708" s="103">
        <v>43.644399999999997</v>
      </c>
      <c r="H708" s="102">
        <v>65</v>
      </c>
      <c r="I708" s="102">
        <v>390</v>
      </c>
      <c r="J708" s="103"/>
      <c r="K708" s="103"/>
      <c r="L708" s="103"/>
      <c r="M708" s="103">
        <v>65</v>
      </c>
      <c r="N708" s="103"/>
      <c r="O708" s="103"/>
      <c r="P708" s="103"/>
      <c r="Q708" s="103"/>
      <c r="R708" s="103"/>
      <c r="S708" s="103"/>
      <c r="T708" s="103"/>
      <c r="U708" s="103"/>
      <c r="V708" s="103"/>
      <c r="W708" s="103"/>
      <c r="X708" s="103"/>
      <c r="Y708" s="103"/>
      <c r="Z708" s="103"/>
      <c r="AA708" s="103">
        <v>65</v>
      </c>
      <c r="AB708" s="103"/>
      <c r="AC708" s="103"/>
      <c r="AD708" s="103"/>
      <c r="AE708" s="103"/>
      <c r="AF708" s="103"/>
      <c r="AG708" s="103"/>
      <c r="AH708" s="103"/>
      <c r="AI708" s="103"/>
      <c r="AJ708" s="103"/>
      <c r="AK708" s="103"/>
      <c r="AL708" s="103"/>
      <c r="AM708" s="103"/>
      <c r="AN708" s="103"/>
      <c r="AO708" s="103">
        <v>65</v>
      </c>
      <c r="AP708" s="103"/>
      <c r="AQ708" s="103"/>
      <c r="AR708" s="103"/>
      <c r="AS708" s="103"/>
      <c r="AT708" s="103"/>
      <c r="AU708" s="103"/>
      <c r="AV708" s="103"/>
      <c r="AW708" s="104" t="str">
        <f>HYPERLINK("http://www.openstreetmap.org/?mlat=35.568&amp;mlon=43.6444&amp;zoom=12#map=12/35.568/43.6444","Maplink1")</f>
        <v>Maplink1</v>
      </c>
      <c r="AX708" s="104" t="str">
        <f>HYPERLINK("https://www.google.iq/maps/search/+35.568,43.6444/@35.568,43.6444,14z?hl=en","Maplink2")</f>
        <v>Maplink2</v>
      </c>
      <c r="AY708" s="104" t="str">
        <f>HYPERLINK("http://www.bing.com/maps/?lvl=14&amp;sty=h&amp;cp=35.568~43.6444&amp;sp=point.35.568_43.6444","Maplink3")</f>
        <v>Maplink3</v>
      </c>
    </row>
    <row r="709" spans="1:51" x14ac:dyDescent="0.2">
      <c r="A709" s="102">
        <v>33844</v>
      </c>
      <c r="B709" s="103" t="s">
        <v>33</v>
      </c>
      <c r="C709" s="103" t="s">
        <v>94</v>
      </c>
      <c r="D709" s="103" t="s">
        <v>1526</v>
      </c>
      <c r="E709" s="103" t="s">
        <v>1527</v>
      </c>
      <c r="F709" s="103">
        <v>36.061390000000003</v>
      </c>
      <c r="G709" s="103">
        <v>43.551670000000001</v>
      </c>
      <c r="H709" s="102">
        <v>32</v>
      </c>
      <c r="I709" s="102">
        <v>192</v>
      </c>
      <c r="J709" s="103"/>
      <c r="K709" s="103"/>
      <c r="L709" s="103"/>
      <c r="M709" s="103">
        <v>32</v>
      </c>
      <c r="N709" s="103"/>
      <c r="O709" s="103"/>
      <c r="P709" s="103"/>
      <c r="Q709" s="103"/>
      <c r="R709" s="103"/>
      <c r="S709" s="103"/>
      <c r="T709" s="103"/>
      <c r="U709" s="103"/>
      <c r="V709" s="103"/>
      <c r="W709" s="103"/>
      <c r="X709" s="103"/>
      <c r="Y709" s="103"/>
      <c r="Z709" s="103"/>
      <c r="AA709" s="103">
        <v>32</v>
      </c>
      <c r="AB709" s="103"/>
      <c r="AC709" s="103"/>
      <c r="AD709" s="103"/>
      <c r="AE709" s="103"/>
      <c r="AF709" s="103"/>
      <c r="AG709" s="103"/>
      <c r="AH709" s="103"/>
      <c r="AI709" s="103"/>
      <c r="AJ709" s="103"/>
      <c r="AK709" s="103"/>
      <c r="AL709" s="103"/>
      <c r="AM709" s="103"/>
      <c r="AN709" s="103"/>
      <c r="AO709" s="103"/>
      <c r="AP709" s="103"/>
      <c r="AQ709" s="103"/>
      <c r="AR709" s="103"/>
      <c r="AS709" s="103"/>
      <c r="AT709" s="103">
        <v>32</v>
      </c>
      <c r="AU709" s="103"/>
      <c r="AV709" s="103"/>
      <c r="AW709" s="104" t="str">
        <f>HYPERLINK("http://www.openstreetmap.org/?mlat=36.0614&amp;mlon=43.5517&amp;zoom=12#map=12/36.0614/43.5517","Maplink1")</f>
        <v>Maplink1</v>
      </c>
      <c r="AX709" s="104" t="str">
        <f>HYPERLINK("https://www.google.iq/maps/search/+36.0614,43.5517/@36.0614,43.5517,14z?hl=en","Maplink2")</f>
        <v>Maplink2</v>
      </c>
      <c r="AY709" s="104" t="str">
        <f>HYPERLINK("http://www.bing.com/maps/?lvl=14&amp;sty=h&amp;cp=36.0614~43.5517&amp;sp=point.36.0614_43.5517","Maplink3")</f>
        <v>Maplink3</v>
      </c>
    </row>
    <row r="710" spans="1:51" x14ac:dyDescent="0.2">
      <c r="A710" s="102">
        <v>12666</v>
      </c>
      <c r="B710" s="103" t="s">
        <v>33</v>
      </c>
      <c r="C710" s="103" t="s">
        <v>94</v>
      </c>
      <c r="D710" s="103" t="s">
        <v>1528</v>
      </c>
      <c r="E710" s="103" t="s">
        <v>1529</v>
      </c>
      <c r="F710" s="103">
        <v>35.870600000000003</v>
      </c>
      <c r="G710" s="103">
        <v>43.426099999999998</v>
      </c>
      <c r="H710" s="102">
        <v>64</v>
      </c>
      <c r="I710" s="102">
        <v>384</v>
      </c>
      <c r="J710" s="103"/>
      <c r="K710" s="103"/>
      <c r="L710" s="103"/>
      <c r="M710" s="103">
        <v>64</v>
      </c>
      <c r="N710" s="103"/>
      <c r="O710" s="103"/>
      <c r="P710" s="103"/>
      <c r="Q710" s="103"/>
      <c r="R710" s="103"/>
      <c r="S710" s="103"/>
      <c r="T710" s="103"/>
      <c r="U710" s="103"/>
      <c r="V710" s="103"/>
      <c r="W710" s="103"/>
      <c r="X710" s="103"/>
      <c r="Y710" s="103"/>
      <c r="Z710" s="103"/>
      <c r="AA710" s="103">
        <v>10</v>
      </c>
      <c r="AB710" s="103"/>
      <c r="AC710" s="103"/>
      <c r="AD710" s="103"/>
      <c r="AE710" s="103"/>
      <c r="AF710" s="103"/>
      <c r="AG710" s="103">
        <v>54</v>
      </c>
      <c r="AH710" s="103"/>
      <c r="AI710" s="103"/>
      <c r="AJ710" s="103"/>
      <c r="AK710" s="103"/>
      <c r="AL710" s="103"/>
      <c r="AM710" s="103"/>
      <c r="AN710" s="103"/>
      <c r="AO710" s="103"/>
      <c r="AP710" s="103">
        <v>64</v>
      </c>
      <c r="AQ710" s="103"/>
      <c r="AR710" s="103"/>
      <c r="AS710" s="103"/>
      <c r="AT710" s="103"/>
      <c r="AU710" s="103"/>
      <c r="AV710" s="103"/>
      <c r="AW710" s="104" t="str">
        <f>HYPERLINK("http://www.openstreetmap.org/?mlat=35.8706&amp;mlon=43.4261&amp;zoom=12#map=12/35.8706/43.4261","Maplink1")</f>
        <v>Maplink1</v>
      </c>
      <c r="AX710" s="104" t="str">
        <f>HYPERLINK("https://www.google.iq/maps/search/+35.8706,43.4261/@35.8706,43.4261,14z?hl=en","Maplink2")</f>
        <v>Maplink2</v>
      </c>
      <c r="AY710" s="104" t="str">
        <f>HYPERLINK("http://www.bing.com/maps/?lvl=14&amp;sty=h&amp;cp=35.8706~43.4261&amp;sp=point.35.8706_43.4261","Maplink3")</f>
        <v>Maplink3</v>
      </c>
    </row>
    <row r="711" spans="1:51" x14ac:dyDescent="0.2">
      <c r="A711" s="102">
        <v>34020</v>
      </c>
      <c r="B711" s="103" t="s">
        <v>33</v>
      </c>
      <c r="C711" s="103" t="s">
        <v>94</v>
      </c>
      <c r="D711" s="103" t="s">
        <v>1530</v>
      </c>
      <c r="E711" s="103" t="s">
        <v>1531</v>
      </c>
      <c r="F711" s="103">
        <v>35.5642</v>
      </c>
      <c r="G711" s="103">
        <v>43.608400000000003</v>
      </c>
      <c r="H711" s="102">
        <v>30</v>
      </c>
      <c r="I711" s="102">
        <v>180</v>
      </c>
      <c r="J711" s="103"/>
      <c r="K711" s="103"/>
      <c r="L711" s="103"/>
      <c r="M711" s="103">
        <v>30</v>
      </c>
      <c r="N711" s="103"/>
      <c r="O711" s="103"/>
      <c r="P711" s="103"/>
      <c r="Q711" s="103"/>
      <c r="R711" s="103"/>
      <c r="S711" s="103"/>
      <c r="T711" s="103"/>
      <c r="U711" s="103"/>
      <c r="V711" s="103"/>
      <c r="W711" s="103"/>
      <c r="X711" s="103"/>
      <c r="Y711" s="103"/>
      <c r="Z711" s="103"/>
      <c r="AA711" s="103">
        <v>10</v>
      </c>
      <c r="AB711" s="103"/>
      <c r="AC711" s="103"/>
      <c r="AD711" s="103"/>
      <c r="AE711" s="103"/>
      <c r="AF711" s="103"/>
      <c r="AG711" s="103">
        <v>20</v>
      </c>
      <c r="AH711" s="103"/>
      <c r="AI711" s="103"/>
      <c r="AJ711" s="103"/>
      <c r="AK711" s="103"/>
      <c r="AL711" s="103"/>
      <c r="AM711" s="103"/>
      <c r="AN711" s="103"/>
      <c r="AO711" s="103">
        <v>30</v>
      </c>
      <c r="AP711" s="103"/>
      <c r="AQ711" s="103"/>
      <c r="AR711" s="103"/>
      <c r="AS711" s="103"/>
      <c r="AT711" s="103"/>
      <c r="AU711" s="103"/>
      <c r="AV711" s="103"/>
      <c r="AW711" s="104" t="str">
        <f>HYPERLINK("http://www.openstreetmap.org/?mlat=35.5642&amp;mlon=43.6084&amp;zoom=12#map=12/35.5642/43.6084","Maplink1")</f>
        <v>Maplink1</v>
      </c>
      <c r="AX711" s="104" t="str">
        <f>HYPERLINK("https://www.google.iq/maps/search/+35.5642,43.6084/@35.5642,43.6084,14z?hl=en","Maplink2")</f>
        <v>Maplink2</v>
      </c>
      <c r="AY711" s="104" t="str">
        <f>HYPERLINK("http://www.bing.com/maps/?lvl=14&amp;sty=h&amp;cp=35.5642~43.6084&amp;sp=point.35.5642_43.6084","Maplink3")</f>
        <v>Maplink3</v>
      </c>
    </row>
    <row r="712" spans="1:51" x14ac:dyDescent="0.2">
      <c r="A712" s="102">
        <v>12494</v>
      </c>
      <c r="B712" s="103" t="s">
        <v>33</v>
      </c>
      <c r="C712" s="103" t="s">
        <v>94</v>
      </c>
      <c r="D712" s="103" t="s">
        <v>1490</v>
      </c>
      <c r="E712" s="103" t="s">
        <v>1491</v>
      </c>
      <c r="F712" s="103">
        <v>35.826599100000003</v>
      </c>
      <c r="G712" s="103">
        <v>43.381933099999998</v>
      </c>
      <c r="H712" s="102">
        <v>217</v>
      </c>
      <c r="I712" s="102">
        <v>1302</v>
      </c>
      <c r="J712" s="103"/>
      <c r="K712" s="103"/>
      <c r="L712" s="103"/>
      <c r="M712" s="103">
        <v>217</v>
      </c>
      <c r="N712" s="103"/>
      <c r="O712" s="103"/>
      <c r="P712" s="103"/>
      <c r="Q712" s="103"/>
      <c r="R712" s="103"/>
      <c r="S712" s="103"/>
      <c r="T712" s="103"/>
      <c r="U712" s="103"/>
      <c r="V712" s="103"/>
      <c r="W712" s="103"/>
      <c r="X712" s="103"/>
      <c r="Y712" s="103"/>
      <c r="Z712" s="103"/>
      <c r="AA712" s="103">
        <v>50</v>
      </c>
      <c r="AB712" s="103"/>
      <c r="AC712" s="103">
        <v>27</v>
      </c>
      <c r="AD712" s="103"/>
      <c r="AE712" s="103"/>
      <c r="AF712" s="103"/>
      <c r="AG712" s="103">
        <v>140</v>
      </c>
      <c r="AH712" s="103"/>
      <c r="AI712" s="103"/>
      <c r="AJ712" s="103"/>
      <c r="AK712" s="103"/>
      <c r="AL712" s="103"/>
      <c r="AM712" s="103"/>
      <c r="AN712" s="103">
        <v>50</v>
      </c>
      <c r="AO712" s="103"/>
      <c r="AP712" s="103">
        <v>27</v>
      </c>
      <c r="AQ712" s="103"/>
      <c r="AR712" s="103"/>
      <c r="AS712" s="103"/>
      <c r="AT712" s="103">
        <v>140</v>
      </c>
      <c r="AU712" s="103"/>
      <c r="AV712" s="103"/>
      <c r="AW712" s="104" t="str">
        <f>HYPERLINK("http://www.openstreetmap.org/?mlat=35.8266&amp;mlon=43.3819&amp;zoom=12#map=12/35.8266/43.3819","Maplink1")</f>
        <v>Maplink1</v>
      </c>
      <c r="AX712" s="104" t="str">
        <f>HYPERLINK("https://www.google.iq/maps/search/+35.8266,43.3819/@35.8266,43.3819,14z?hl=en","Maplink2")</f>
        <v>Maplink2</v>
      </c>
      <c r="AY712" s="104" t="str">
        <f>HYPERLINK("http://www.bing.com/maps/?lvl=14&amp;sty=h&amp;cp=35.8266~43.3819&amp;sp=point.35.8266_43.3819","Maplink3")</f>
        <v>Maplink3</v>
      </c>
    </row>
    <row r="713" spans="1:51" x14ac:dyDescent="0.2">
      <c r="A713" s="102">
        <v>12518</v>
      </c>
      <c r="B713" s="103" t="s">
        <v>33</v>
      </c>
      <c r="C713" s="103" t="s">
        <v>94</v>
      </c>
      <c r="D713" s="103" t="s">
        <v>1492</v>
      </c>
      <c r="E713" s="103" t="s">
        <v>1493</v>
      </c>
      <c r="F713" s="103">
        <v>35.816421200000001</v>
      </c>
      <c r="G713" s="103">
        <v>43.445875000000001</v>
      </c>
      <c r="H713" s="102">
        <v>119</v>
      </c>
      <c r="I713" s="102">
        <v>714</v>
      </c>
      <c r="J713" s="103"/>
      <c r="K713" s="103"/>
      <c r="L713" s="103"/>
      <c r="M713" s="103">
        <v>119</v>
      </c>
      <c r="N713" s="103"/>
      <c r="O713" s="103"/>
      <c r="P713" s="103"/>
      <c r="Q713" s="103"/>
      <c r="R713" s="103"/>
      <c r="S713" s="103"/>
      <c r="T713" s="103"/>
      <c r="U713" s="103"/>
      <c r="V713" s="103"/>
      <c r="W713" s="103"/>
      <c r="X713" s="103"/>
      <c r="Y713" s="103"/>
      <c r="Z713" s="103"/>
      <c r="AA713" s="103">
        <v>100</v>
      </c>
      <c r="AB713" s="103"/>
      <c r="AC713" s="103"/>
      <c r="AD713" s="103"/>
      <c r="AE713" s="103"/>
      <c r="AF713" s="103"/>
      <c r="AG713" s="103"/>
      <c r="AH713" s="103"/>
      <c r="AI713" s="103">
        <v>19</v>
      </c>
      <c r="AJ713" s="103"/>
      <c r="AK713" s="103"/>
      <c r="AL713" s="103"/>
      <c r="AM713" s="103"/>
      <c r="AN713" s="103"/>
      <c r="AO713" s="103"/>
      <c r="AP713" s="103">
        <v>119</v>
      </c>
      <c r="AQ713" s="103"/>
      <c r="AR713" s="103"/>
      <c r="AS713" s="103"/>
      <c r="AT713" s="103"/>
      <c r="AU713" s="103"/>
      <c r="AV713" s="103"/>
      <c r="AW713" s="104" t="str">
        <f>HYPERLINK("http://www.openstreetmap.org/?mlat=35.8164&amp;mlon=43.4459&amp;zoom=12#map=12/35.8164/43.4459","Maplink1")</f>
        <v>Maplink1</v>
      </c>
      <c r="AX713" s="104" t="str">
        <f>HYPERLINK("https://www.google.iq/maps/search/+35.8164,43.4459/@35.8164,43.4459,14z?hl=en","Maplink2")</f>
        <v>Maplink2</v>
      </c>
      <c r="AY713" s="104" t="str">
        <f>HYPERLINK("http://www.bing.com/maps/?lvl=14&amp;sty=h&amp;cp=35.8164~43.4459&amp;sp=point.35.8164_43.4459","Maplink3")</f>
        <v>Maplink3</v>
      </c>
    </row>
    <row r="714" spans="1:51" x14ac:dyDescent="0.2">
      <c r="A714" s="102">
        <v>27244</v>
      </c>
      <c r="B714" s="103" t="s">
        <v>33</v>
      </c>
      <c r="C714" s="103" t="s">
        <v>94</v>
      </c>
      <c r="D714" s="103" t="s">
        <v>1494</v>
      </c>
      <c r="E714" s="103" t="s">
        <v>1495</v>
      </c>
      <c r="F714" s="103">
        <v>35.775451429999997</v>
      </c>
      <c r="G714" s="103">
        <v>43.577268699999998</v>
      </c>
      <c r="H714" s="102">
        <v>190</v>
      </c>
      <c r="I714" s="102">
        <v>1140</v>
      </c>
      <c r="J714" s="103"/>
      <c r="K714" s="103"/>
      <c r="L714" s="103"/>
      <c r="M714" s="103">
        <v>190</v>
      </c>
      <c r="N714" s="103"/>
      <c r="O714" s="103"/>
      <c r="P714" s="103"/>
      <c r="Q714" s="103"/>
      <c r="R714" s="103"/>
      <c r="S714" s="103"/>
      <c r="T714" s="103"/>
      <c r="U714" s="103"/>
      <c r="V714" s="103"/>
      <c r="W714" s="103"/>
      <c r="X714" s="103"/>
      <c r="Y714" s="103"/>
      <c r="Z714" s="103"/>
      <c r="AA714" s="103">
        <v>170</v>
      </c>
      <c r="AB714" s="103"/>
      <c r="AC714" s="103">
        <v>20</v>
      </c>
      <c r="AD714" s="103"/>
      <c r="AE714" s="103"/>
      <c r="AF714" s="103"/>
      <c r="AG714" s="103"/>
      <c r="AH714" s="103"/>
      <c r="AI714" s="103"/>
      <c r="AJ714" s="103"/>
      <c r="AK714" s="103"/>
      <c r="AL714" s="103"/>
      <c r="AM714" s="103"/>
      <c r="AN714" s="103"/>
      <c r="AO714" s="103"/>
      <c r="AP714" s="103"/>
      <c r="AQ714" s="103"/>
      <c r="AR714" s="103"/>
      <c r="AS714" s="103"/>
      <c r="AT714" s="103">
        <v>190</v>
      </c>
      <c r="AU714" s="103"/>
      <c r="AV714" s="103"/>
      <c r="AW714" s="104" t="str">
        <f>HYPERLINK("http://www.openstreetmap.org/?mlat=35.7755&amp;mlon=43.5773&amp;zoom=12#map=12/35.7755/43.5773","Maplink1")</f>
        <v>Maplink1</v>
      </c>
      <c r="AX714" s="104" t="str">
        <f>HYPERLINK("https://www.google.iq/maps/search/+35.7755,43.5773/@35.7755,43.5773,14z?hl=en","Maplink2")</f>
        <v>Maplink2</v>
      </c>
      <c r="AY714" s="104" t="str">
        <f>HYPERLINK("http://www.bing.com/maps/?lvl=14&amp;sty=h&amp;cp=35.7755~43.5773&amp;sp=point.35.7755_43.5773","Maplink3")</f>
        <v>Maplink3</v>
      </c>
    </row>
    <row r="715" spans="1:51" x14ac:dyDescent="0.2">
      <c r="A715" s="102">
        <v>34019</v>
      </c>
      <c r="B715" s="103" t="s">
        <v>33</v>
      </c>
      <c r="C715" s="103" t="s">
        <v>94</v>
      </c>
      <c r="D715" s="103" t="s">
        <v>1496</v>
      </c>
      <c r="E715" s="103" t="s">
        <v>1497</v>
      </c>
      <c r="F715" s="103">
        <v>35.500799999999998</v>
      </c>
      <c r="G715" s="103">
        <v>43.4253</v>
      </c>
      <c r="H715" s="102">
        <v>16</v>
      </c>
      <c r="I715" s="102">
        <v>96</v>
      </c>
      <c r="J715" s="103"/>
      <c r="K715" s="103"/>
      <c r="L715" s="103"/>
      <c r="M715" s="103">
        <v>16</v>
      </c>
      <c r="N715" s="103"/>
      <c r="O715" s="103"/>
      <c r="P715" s="103"/>
      <c r="Q715" s="103"/>
      <c r="R715" s="103"/>
      <c r="S715" s="103"/>
      <c r="T715" s="103"/>
      <c r="U715" s="103"/>
      <c r="V715" s="103"/>
      <c r="W715" s="103"/>
      <c r="X715" s="103"/>
      <c r="Y715" s="103"/>
      <c r="Z715" s="103"/>
      <c r="AA715" s="103"/>
      <c r="AB715" s="103"/>
      <c r="AC715" s="103"/>
      <c r="AD715" s="103"/>
      <c r="AE715" s="103"/>
      <c r="AF715" s="103"/>
      <c r="AG715" s="103">
        <v>16</v>
      </c>
      <c r="AH715" s="103"/>
      <c r="AI715" s="103"/>
      <c r="AJ715" s="103"/>
      <c r="AK715" s="103"/>
      <c r="AL715" s="103"/>
      <c r="AM715" s="103"/>
      <c r="AN715" s="103"/>
      <c r="AO715" s="103">
        <v>16</v>
      </c>
      <c r="AP715" s="103"/>
      <c r="AQ715" s="103"/>
      <c r="AR715" s="103"/>
      <c r="AS715" s="103"/>
      <c r="AT715" s="103"/>
      <c r="AU715" s="103"/>
      <c r="AV715" s="103"/>
      <c r="AW715" s="104" t="str">
        <f>HYPERLINK("http://www.openstreetmap.org/?mlat=35.5008&amp;mlon=43.4253&amp;zoom=12#map=12/35.5008/43.4253","Maplink1")</f>
        <v>Maplink1</v>
      </c>
      <c r="AX715" s="104" t="str">
        <f>HYPERLINK("https://www.google.iq/maps/search/+35.5008,43.4253/@35.5008,43.4253,14z?hl=en","Maplink2")</f>
        <v>Maplink2</v>
      </c>
      <c r="AY715" s="104" t="str">
        <f>HYPERLINK("http://www.bing.com/maps/?lvl=14&amp;sty=h&amp;cp=35.5008~43.4253&amp;sp=point.35.5008_43.4253","Maplink3")</f>
        <v>Maplink3</v>
      </c>
    </row>
    <row r="716" spans="1:51" x14ac:dyDescent="0.2">
      <c r="A716" s="102">
        <v>13415</v>
      </c>
      <c r="B716" s="103" t="s">
        <v>33</v>
      </c>
      <c r="C716" s="103" t="s">
        <v>94</v>
      </c>
      <c r="D716" s="103" t="s">
        <v>1498</v>
      </c>
      <c r="E716" s="103" t="s">
        <v>1499</v>
      </c>
      <c r="F716" s="103">
        <v>35.742800000000003</v>
      </c>
      <c r="G716" s="103">
        <v>43.368099999999998</v>
      </c>
      <c r="H716" s="102">
        <v>240</v>
      </c>
      <c r="I716" s="102">
        <v>1440</v>
      </c>
      <c r="J716" s="103"/>
      <c r="K716" s="103"/>
      <c r="L716" s="103"/>
      <c r="M716" s="103">
        <v>240</v>
      </c>
      <c r="N716" s="103"/>
      <c r="O716" s="103"/>
      <c r="P716" s="103"/>
      <c r="Q716" s="103"/>
      <c r="R716" s="103"/>
      <c r="S716" s="103"/>
      <c r="T716" s="103"/>
      <c r="U716" s="103"/>
      <c r="V716" s="103"/>
      <c r="W716" s="103"/>
      <c r="X716" s="103"/>
      <c r="Y716" s="103"/>
      <c r="Z716" s="103"/>
      <c r="AA716" s="103">
        <v>190</v>
      </c>
      <c r="AB716" s="103"/>
      <c r="AC716" s="103">
        <v>50</v>
      </c>
      <c r="AD716" s="103"/>
      <c r="AE716" s="103"/>
      <c r="AF716" s="103"/>
      <c r="AG716" s="103"/>
      <c r="AH716" s="103"/>
      <c r="AI716" s="103"/>
      <c r="AJ716" s="103"/>
      <c r="AK716" s="103"/>
      <c r="AL716" s="103"/>
      <c r="AM716" s="103"/>
      <c r="AN716" s="103"/>
      <c r="AO716" s="103">
        <v>240</v>
      </c>
      <c r="AP716" s="103"/>
      <c r="AQ716" s="103"/>
      <c r="AR716" s="103"/>
      <c r="AS716" s="103"/>
      <c r="AT716" s="103"/>
      <c r="AU716" s="103"/>
      <c r="AV716" s="103"/>
      <c r="AW716" s="104" t="str">
        <f>HYPERLINK("http://www.openstreetmap.org/?mlat=35.7428&amp;mlon=43.3681&amp;zoom=12#map=12/35.7428/43.3681","Maplink1")</f>
        <v>Maplink1</v>
      </c>
      <c r="AX716" s="104" t="str">
        <f>HYPERLINK("https://www.google.iq/maps/search/+35.7428,43.3681/@35.7428,43.3681,14z?hl=en","Maplink2")</f>
        <v>Maplink2</v>
      </c>
      <c r="AY716" s="104" t="str">
        <f>HYPERLINK("http://www.bing.com/maps/?lvl=14&amp;sty=h&amp;cp=35.7428~43.3681&amp;sp=point.35.7428_43.3681","Maplink3")</f>
        <v>Maplink3</v>
      </c>
    </row>
    <row r="717" spans="1:51" x14ac:dyDescent="0.2">
      <c r="A717" s="102">
        <v>33846</v>
      </c>
      <c r="B717" s="103" t="s">
        <v>33</v>
      </c>
      <c r="C717" s="103" t="s">
        <v>94</v>
      </c>
      <c r="D717" s="103" t="s">
        <v>1472</v>
      </c>
      <c r="E717" s="103" t="s">
        <v>1473</v>
      </c>
      <c r="F717" s="103">
        <v>36.0040269</v>
      </c>
      <c r="G717" s="103">
        <v>43.550915099999997</v>
      </c>
      <c r="H717" s="102">
        <v>41</v>
      </c>
      <c r="I717" s="102">
        <v>246</v>
      </c>
      <c r="J717" s="103"/>
      <c r="K717" s="103"/>
      <c r="L717" s="103"/>
      <c r="M717" s="103">
        <v>41</v>
      </c>
      <c r="N717" s="103"/>
      <c r="O717" s="103"/>
      <c r="P717" s="103"/>
      <c r="Q717" s="103"/>
      <c r="R717" s="103"/>
      <c r="S717" s="103"/>
      <c r="T717" s="103"/>
      <c r="U717" s="103"/>
      <c r="V717" s="103"/>
      <c r="W717" s="103"/>
      <c r="X717" s="103"/>
      <c r="Y717" s="103"/>
      <c r="Z717" s="103"/>
      <c r="AA717" s="103">
        <v>41</v>
      </c>
      <c r="AB717" s="103"/>
      <c r="AC717" s="103"/>
      <c r="AD717" s="103"/>
      <c r="AE717" s="103"/>
      <c r="AF717" s="103"/>
      <c r="AG717" s="103"/>
      <c r="AH717" s="103"/>
      <c r="AI717" s="103"/>
      <c r="AJ717" s="103"/>
      <c r="AK717" s="103"/>
      <c r="AL717" s="103"/>
      <c r="AM717" s="103"/>
      <c r="AN717" s="103"/>
      <c r="AO717" s="103"/>
      <c r="AP717" s="103"/>
      <c r="AQ717" s="103"/>
      <c r="AR717" s="103"/>
      <c r="AS717" s="103"/>
      <c r="AT717" s="103">
        <v>41</v>
      </c>
      <c r="AU717" s="103"/>
      <c r="AV717" s="103"/>
      <c r="AW717" s="104" t="str">
        <f>HYPERLINK("http://www.openstreetmap.org/?mlat=36.004&amp;mlon=43.5509&amp;zoom=12#map=12/36.004/43.5509","Maplink1")</f>
        <v>Maplink1</v>
      </c>
      <c r="AX717" s="104" t="str">
        <f>HYPERLINK("https://www.google.iq/maps/search/+36.004,43.5509/@36.004,43.5509,14z?hl=en","Maplink2")</f>
        <v>Maplink2</v>
      </c>
      <c r="AY717" s="104" t="str">
        <f>HYPERLINK("http://www.bing.com/maps/?lvl=14&amp;sty=h&amp;cp=36.004~43.5509&amp;sp=point.36.004_43.5509","Maplink3")</f>
        <v>Maplink3</v>
      </c>
    </row>
    <row r="718" spans="1:51" x14ac:dyDescent="0.2">
      <c r="A718" s="102">
        <v>12457</v>
      </c>
      <c r="B718" s="103" t="s">
        <v>33</v>
      </c>
      <c r="C718" s="103" t="s">
        <v>94</v>
      </c>
      <c r="D718" s="103" t="s">
        <v>1474</v>
      </c>
      <c r="E718" s="103" t="s">
        <v>1475</v>
      </c>
      <c r="F718" s="103">
        <v>35.812899999999999</v>
      </c>
      <c r="G718" s="103">
        <v>43.467300000000002</v>
      </c>
      <c r="H718" s="102">
        <v>17</v>
      </c>
      <c r="I718" s="102">
        <v>102</v>
      </c>
      <c r="J718" s="103"/>
      <c r="K718" s="103"/>
      <c r="L718" s="103"/>
      <c r="M718" s="103">
        <v>17</v>
      </c>
      <c r="N718" s="103"/>
      <c r="O718" s="103"/>
      <c r="P718" s="103"/>
      <c r="Q718" s="103"/>
      <c r="R718" s="103"/>
      <c r="S718" s="103"/>
      <c r="T718" s="103"/>
      <c r="U718" s="103"/>
      <c r="V718" s="103"/>
      <c r="W718" s="103"/>
      <c r="X718" s="103"/>
      <c r="Y718" s="103"/>
      <c r="Z718" s="103"/>
      <c r="AA718" s="103">
        <v>5</v>
      </c>
      <c r="AB718" s="103"/>
      <c r="AC718" s="103"/>
      <c r="AD718" s="103"/>
      <c r="AE718" s="103"/>
      <c r="AF718" s="103"/>
      <c r="AG718" s="103">
        <v>12</v>
      </c>
      <c r="AH718" s="103"/>
      <c r="AI718" s="103"/>
      <c r="AJ718" s="103"/>
      <c r="AK718" s="103"/>
      <c r="AL718" s="103"/>
      <c r="AM718" s="103"/>
      <c r="AN718" s="103"/>
      <c r="AO718" s="103">
        <v>10</v>
      </c>
      <c r="AP718" s="103">
        <v>7</v>
      </c>
      <c r="AQ718" s="103"/>
      <c r="AR718" s="103"/>
      <c r="AS718" s="103"/>
      <c r="AT718" s="103"/>
      <c r="AU718" s="103"/>
      <c r="AV718" s="103"/>
      <c r="AW718" s="104" t="str">
        <f>HYPERLINK("http://www.openstreetmap.org/?mlat=35.8129&amp;mlon=43.4673&amp;zoom=12#map=12/35.8129/43.4673","Maplink1")</f>
        <v>Maplink1</v>
      </c>
      <c r="AX718" s="104" t="str">
        <f>HYPERLINK("https://www.google.iq/maps/search/+35.8129,43.4673/@35.8129,43.4673,14z?hl=en","Maplink2")</f>
        <v>Maplink2</v>
      </c>
      <c r="AY718" s="104" t="str">
        <f>HYPERLINK("http://www.bing.com/maps/?lvl=14&amp;sty=h&amp;cp=35.8129~43.4673&amp;sp=point.35.8129_43.4673","Maplink3")</f>
        <v>Maplink3</v>
      </c>
    </row>
    <row r="719" spans="1:51" x14ac:dyDescent="0.2">
      <c r="A719" s="102">
        <v>13428</v>
      </c>
      <c r="B719" s="103" t="s">
        <v>33</v>
      </c>
      <c r="C719" s="103" t="s">
        <v>94</v>
      </c>
      <c r="D719" s="103" t="s">
        <v>1476</v>
      </c>
      <c r="E719" s="103" t="s">
        <v>1477</v>
      </c>
      <c r="F719" s="103">
        <v>35.541400000000003</v>
      </c>
      <c r="G719" s="103">
        <v>43.427</v>
      </c>
      <c r="H719" s="102">
        <v>16</v>
      </c>
      <c r="I719" s="102">
        <v>96</v>
      </c>
      <c r="J719" s="103"/>
      <c r="K719" s="103"/>
      <c r="L719" s="103"/>
      <c r="M719" s="103">
        <v>16</v>
      </c>
      <c r="N719" s="103"/>
      <c r="O719" s="103"/>
      <c r="P719" s="103"/>
      <c r="Q719" s="103"/>
      <c r="R719" s="103"/>
      <c r="S719" s="103"/>
      <c r="T719" s="103"/>
      <c r="U719" s="103"/>
      <c r="V719" s="103"/>
      <c r="W719" s="103"/>
      <c r="X719" s="103"/>
      <c r="Y719" s="103"/>
      <c r="Z719" s="103"/>
      <c r="AA719" s="103"/>
      <c r="AB719" s="103"/>
      <c r="AC719" s="103"/>
      <c r="AD719" s="103"/>
      <c r="AE719" s="103"/>
      <c r="AF719" s="103"/>
      <c r="AG719" s="103">
        <v>16</v>
      </c>
      <c r="AH719" s="103"/>
      <c r="AI719" s="103"/>
      <c r="AJ719" s="103"/>
      <c r="AK719" s="103"/>
      <c r="AL719" s="103"/>
      <c r="AM719" s="103"/>
      <c r="AN719" s="103"/>
      <c r="AO719" s="103">
        <v>16</v>
      </c>
      <c r="AP719" s="103"/>
      <c r="AQ719" s="103"/>
      <c r="AR719" s="103"/>
      <c r="AS719" s="103"/>
      <c r="AT719" s="103"/>
      <c r="AU719" s="103"/>
      <c r="AV719" s="103"/>
      <c r="AW719" s="104" t="str">
        <f>HYPERLINK("http://www.openstreetmap.org/?mlat=35.5414&amp;mlon=43.427&amp;zoom=12#map=12/35.5414/43.427","Maplink1")</f>
        <v>Maplink1</v>
      </c>
      <c r="AX719" s="104" t="str">
        <f>HYPERLINK("https://www.google.iq/maps/search/+35.5414,43.427/@35.5414,43.427,14z?hl=en","Maplink2")</f>
        <v>Maplink2</v>
      </c>
      <c r="AY719" s="104" t="str">
        <f>HYPERLINK("http://www.bing.com/maps/?lvl=14&amp;sty=h&amp;cp=35.5414~43.427&amp;sp=point.35.5414_43.427","Maplink3")</f>
        <v>Maplink3</v>
      </c>
    </row>
    <row r="720" spans="1:51" x14ac:dyDescent="0.2">
      <c r="A720" s="102">
        <v>12512</v>
      </c>
      <c r="B720" s="103" t="s">
        <v>33</v>
      </c>
      <c r="C720" s="103" t="s">
        <v>94</v>
      </c>
      <c r="D720" s="103" t="s">
        <v>1478</v>
      </c>
      <c r="E720" s="103" t="s">
        <v>1479</v>
      </c>
      <c r="F720" s="103">
        <v>35.576099999999997</v>
      </c>
      <c r="G720" s="103">
        <v>43.552</v>
      </c>
      <c r="H720" s="102">
        <v>65</v>
      </c>
      <c r="I720" s="102">
        <v>390</v>
      </c>
      <c r="J720" s="103"/>
      <c r="K720" s="103"/>
      <c r="L720" s="103"/>
      <c r="M720" s="103">
        <v>65</v>
      </c>
      <c r="N720" s="103"/>
      <c r="O720" s="103"/>
      <c r="P720" s="103"/>
      <c r="Q720" s="103"/>
      <c r="R720" s="103"/>
      <c r="S720" s="103"/>
      <c r="T720" s="103"/>
      <c r="U720" s="103"/>
      <c r="V720" s="103"/>
      <c r="W720" s="103"/>
      <c r="X720" s="103"/>
      <c r="Y720" s="103"/>
      <c r="Z720" s="103"/>
      <c r="AA720" s="103">
        <v>35</v>
      </c>
      <c r="AB720" s="103"/>
      <c r="AC720" s="103"/>
      <c r="AD720" s="103"/>
      <c r="AE720" s="103"/>
      <c r="AF720" s="103"/>
      <c r="AG720" s="103">
        <v>30</v>
      </c>
      <c r="AH720" s="103"/>
      <c r="AI720" s="103"/>
      <c r="AJ720" s="103"/>
      <c r="AK720" s="103"/>
      <c r="AL720" s="103"/>
      <c r="AM720" s="103"/>
      <c r="AN720" s="103"/>
      <c r="AO720" s="103">
        <v>65</v>
      </c>
      <c r="AP720" s="103"/>
      <c r="AQ720" s="103"/>
      <c r="AR720" s="103"/>
      <c r="AS720" s="103"/>
      <c r="AT720" s="103"/>
      <c r="AU720" s="103"/>
      <c r="AV720" s="103"/>
      <c r="AW720" s="104" t="str">
        <f>HYPERLINK("http://www.openstreetmap.org/?mlat=35.5761&amp;mlon=43.552&amp;zoom=12#map=12/35.5761/43.552","Maplink1")</f>
        <v>Maplink1</v>
      </c>
      <c r="AX720" s="104" t="str">
        <f>HYPERLINK("https://www.google.iq/maps/search/+35.5761,43.552/@35.5761,43.552,14z?hl=en","Maplink2")</f>
        <v>Maplink2</v>
      </c>
      <c r="AY720" s="104" t="str">
        <f>HYPERLINK("http://www.bing.com/maps/?lvl=14&amp;sty=h&amp;cp=35.5761~43.552&amp;sp=point.35.5761_43.552","Maplink3")</f>
        <v>Maplink3</v>
      </c>
    </row>
    <row r="721" spans="1:51" x14ac:dyDescent="0.2">
      <c r="A721" s="102">
        <v>33848</v>
      </c>
      <c r="B721" s="103" t="s">
        <v>33</v>
      </c>
      <c r="C721" s="103" t="s">
        <v>94</v>
      </c>
      <c r="D721" s="103" t="s">
        <v>1446</v>
      </c>
      <c r="E721" s="103" t="s">
        <v>1447</v>
      </c>
      <c r="F721" s="103">
        <v>35.97972</v>
      </c>
      <c r="G721" s="103">
        <v>43.514719999999997</v>
      </c>
      <c r="H721" s="102">
        <v>40</v>
      </c>
      <c r="I721" s="102">
        <v>240</v>
      </c>
      <c r="J721" s="103"/>
      <c r="K721" s="103"/>
      <c r="L721" s="103"/>
      <c r="M721" s="103">
        <v>40</v>
      </c>
      <c r="N721" s="103"/>
      <c r="O721" s="103"/>
      <c r="P721" s="103"/>
      <c r="Q721" s="103"/>
      <c r="R721" s="103"/>
      <c r="S721" s="103"/>
      <c r="T721" s="103"/>
      <c r="U721" s="103"/>
      <c r="V721" s="103"/>
      <c r="W721" s="103"/>
      <c r="X721" s="103"/>
      <c r="Y721" s="103"/>
      <c r="Z721" s="103"/>
      <c r="AA721" s="103">
        <v>40</v>
      </c>
      <c r="AB721" s="103"/>
      <c r="AC721" s="103"/>
      <c r="AD721" s="103"/>
      <c r="AE721" s="103"/>
      <c r="AF721" s="103"/>
      <c r="AG721" s="103"/>
      <c r="AH721" s="103"/>
      <c r="AI721" s="103"/>
      <c r="AJ721" s="103"/>
      <c r="AK721" s="103"/>
      <c r="AL721" s="103"/>
      <c r="AM721" s="103"/>
      <c r="AN721" s="103"/>
      <c r="AO721" s="103"/>
      <c r="AP721" s="103"/>
      <c r="AQ721" s="103"/>
      <c r="AR721" s="103"/>
      <c r="AS721" s="103"/>
      <c r="AT721" s="103">
        <v>40</v>
      </c>
      <c r="AU721" s="103"/>
      <c r="AV721" s="103"/>
      <c r="AW721" s="104" t="str">
        <f>HYPERLINK("http://www.openstreetmap.org/?mlat=35.9797&amp;mlon=43.5147&amp;zoom=12#map=12/35.9797/43.5147","Maplink1")</f>
        <v>Maplink1</v>
      </c>
      <c r="AX721" s="104" t="str">
        <f>HYPERLINK("https://www.google.iq/maps/search/+35.9797,43.5147/@35.9797,43.5147,14z?hl=en","Maplink2")</f>
        <v>Maplink2</v>
      </c>
      <c r="AY721" s="104" t="str">
        <f>HYPERLINK("http://www.bing.com/maps/?lvl=14&amp;sty=h&amp;cp=35.9797~43.5147&amp;sp=point.35.9797_43.5147","Maplink3")</f>
        <v>Maplink3</v>
      </c>
    </row>
    <row r="722" spans="1:51" x14ac:dyDescent="0.2">
      <c r="A722" s="102">
        <v>13416</v>
      </c>
      <c r="B722" s="103" t="s">
        <v>33</v>
      </c>
      <c r="C722" s="103" t="s">
        <v>94</v>
      </c>
      <c r="D722" s="103" t="s">
        <v>1448</v>
      </c>
      <c r="E722" s="103" t="s">
        <v>1449</v>
      </c>
      <c r="F722" s="103">
        <v>35.540300000000002</v>
      </c>
      <c r="G722" s="103">
        <v>43.463200000000001</v>
      </c>
      <c r="H722" s="102">
        <v>17</v>
      </c>
      <c r="I722" s="102">
        <v>102</v>
      </c>
      <c r="J722" s="103"/>
      <c r="K722" s="103"/>
      <c r="L722" s="103"/>
      <c r="M722" s="103">
        <v>17</v>
      </c>
      <c r="N722" s="103"/>
      <c r="O722" s="103"/>
      <c r="P722" s="103"/>
      <c r="Q722" s="103"/>
      <c r="R722" s="103"/>
      <c r="S722" s="103"/>
      <c r="T722" s="103"/>
      <c r="U722" s="103"/>
      <c r="V722" s="103"/>
      <c r="W722" s="103"/>
      <c r="X722" s="103"/>
      <c r="Y722" s="103"/>
      <c r="Z722" s="103"/>
      <c r="AA722" s="103"/>
      <c r="AB722" s="103"/>
      <c r="AC722" s="103"/>
      <c r="AD722" s="103"/>
      <c r="AE722" s="103"/>
      <c r="AF722" s="103"/>
      <c r="AG722" s="103">
        <v>17</v>
      </c>
      <c r="AH722" s="103"/>
      <c r="AI722" s="103"/>
      <c r="AJ722" s="103"/>
      <c r="AK722" s="103"/>
      <c r="AL722" s="103"/>
      <c r="AM722" s="103"/>
      <c r="AN722" s="103"/>
      <c r="AO722" s="103">
        <v>17</v>
      </c>
      <c r="AP722" s="103"/>
      <c r="AQ722" s="103"/>
      <c r="AR722" s="103"/>
      <c r="AS722" s="103"/>
      <c r="AT722" s="103"/>
      <c r="AU722" s="103"/>
      <c r="AV722" s="103"/>
      <c r="AW722" s="104" t="str">
        <f>HYPERLINK("http://www.openstreetmap.org/?mlat=35.5403&amp;mlon=43.4632&amp;zoom=12#map=12/35.5403/43.4632","Maplink1")</f>
        <v>Maplink1</v>
      </c>
      <c r="AX722" s="104" t="str">
        <f>HYPERLINK("https://www.google.iq/maps/search/+35.5403,43.4632/@35.5403,43.4632,14z?hl=en","Maplink2")</f>
        <v>Maplink2</v>
      </c>
      <c r="AY722" s="104" t="str">
        <f>HYPERLINK("http://www.bing.com/maps/?lvl=14&amp;sty=h&amp;cp=35.5403~43.4632&amp;sp=point.35.5403_43.4632","Maplink3")</f>
        <v>Maplink3</v>
      </c>
    </row>
    <row r="723" spans="1:51" x14ac:dyDescent="0.2">
      <c r="A723" s="102">
        <v>13446</v>
      </c>
      <c r="B723" s="103" t="s">
        <v>33</v>
      </c>
      <c r="C723" s="103" t="s">
        <v>94</v>
      </c>
      <c r="D723" s="103" t="s">
        <v>1450</v>
      </c>
      <c r="E723" s="103" t="s">
        <v>1451</v>
      </c>
      <c r="F723" s="103">
        <v>35.653799999999997</v>
      </c>
      <c r="G723" s="103">
        <v>43.396099999999997</v>
      </c>
      <c r="H723" s="102">
        <v>8</v>
      </c>
      <c r="I723" s="102">
        <v>48</v>
      </c>
      <c r="J723" s="103"/>
      <c r="K723" s="103"/>
      <c r="L723" s="103"/>
      <c r="M723" s="103">
        <v>8</v>
      </c>
      <c r="N723" s="103"/>
      <c r="O723" s="103"/>
      <c r="P723" s="103"/>
      <c r="Q723" s="103"/>
      <c r="R723" s="103"/>
      <c r="S723" s="103"/>
      <c r="T723" s="103"/>
      <c r="U723" s="103"/>
      <c r="V723" s="103"/>
      <c r="W723" s="103"/>
      <c r="X723" s="103"/>
      <c r="Y723" s="103"/>
      <c r="Z723" s="103"/>
      <c r="AA723" s="103">
        <v>1</v>
      </c>
      <c r="AB723" s="103"/>
      <c r="AC723" s="103"/>
      <c r="AD723" s="103"/>
      <c r="AE723" s="103"/>
      <c r="AF723" s="103"/>
      <c r="AG723" s="103">
        <v>7</v>
      </c>
      <c r="AH723" s="103"/>
      <c r="AI723" s="103"/>
      <c r="AJ723" s="103"/>
      <c r="AK723" s="103"/>
      <c r="AL723" s="103"/>
      <c r="AM723" s="103"/>
      <c r="AN723" s="103"/>
      <c r="AO723" s="103">
        <v>8</v>
      </c>
      <c r="AP723" s="103"/>
      <c r="AQ723" s="103"/>
      <c r="AR723" s="103"/>
      <c r="AS723" s="103"/>
      <c r="AT723" s="103"/>
      <c r="AU723" s="103"/>
      <c r="AV723" s="103"/>
      <c r="AW723" s="104" t="str">
        <f>HYPERLINK("http://www.openstreetmap.org/?mlat=35.6538&amp;mlon=43.3961&amp;zoom=12#map=12/35.6538/43.3961","Maplink1")</f>
        <v>Maplink1</v>
      </c>
      <c r="AX723" s="104" t="str">
        <f>HYPERLINK("https://www.google.iq/maps/search/+35.6538,43.3961/@35.6538,43.3961,14z?hl=en","Maplink2")</f>
        <v>Maplink2</v>
      </c>
      <c r="AY723" s="104" t="str">
        <f>HYPERLINK("http://www.bing.com/maps/?lvl=14&amp;sty=h&amp;cp=35.6538~43.3961&amp;sp=point.35.6538_43.3961","Maplink3")</f>
        <v>Maplink3</v>
      </c>
    </row>
    <row r="724" spans="1:51" x14ac:dyDescent="0.2">
      <c r="A724" s="102">
        <v>13501</v>
      </c>
      <c r="B724" s="103" t="s">
        <v>33</v>
      </c>
      <c r="C724" s="103" t="s">
        <v>94</v>
      </c>
      <c r="D724" s="103" t="s">
        <v>1500</v>
      </c>
      <c r="E724" s="103" t="s">
        <v>1501</v>
      </c>
      <c r="F724" s="103">
        <v>35.767175770000001</v>
      </c>
      <c r="G724" s="103">
        <v>43.576237800000001</v>
      </c>
      <c r="H724" s="102">
        <v>300</v>
      </c>
      <c r="I724" s="102">
        <v>1800</v>
      </c>
      <c r="J724" s="103"/>
      <c r="K724" s="103"/>
      <c r="L724" s="103"/>
      <c r="M724" s="103">
        <v>300</v>
      </c>
      <c r="N724" s="103"/>
      <c r="O724" s="103"/>
      <c r="P724" s="103"/>
      <c r="Q724" s="103"/>
      <c r="R724" s="103"/>
      <c r="S724" s="103"/>
      <c r="T724" s="103"/>
      <c r="U724" s="103"/>
      <c r="V724" s="103"/>
      <c r="W724" s="103"/>
      <c r="X724" s="103"/>
      <c r="Y724" s="103"/>
      <c r="Z724" s="103"/>
      <c r="AA724" s="103">
        <v>300</v>
      </c>
      <c r="AB724" s="103"/>
      <c r="AC724" s="103"/>
      <c r="AD724" s="103"/>
      <c r="AE724" s="103"/>
      <c r="AF724" s="103"/>
      <c r="AG724" s="103"/>
      <c r="AH724" s="103"/>
      <c r="AI724" s="103"/>
      <c r="AJ724" s="103"/>
      <c r="AK724" s="103"/>
      <c r="AL724" s="103"/>
      <c r="AM724" s="103"/>
      <c r="AN724" s="103"/>
      <c r="AO724" s="103"/>
      <c r="AP724" s="103"/>
      <c r="AQ724" s="103"/>
      <c r="AR724" s="103"/>
      <c r="AS724" s="103"/>
      <c r="AT724" s="103">
        <v>300</v>
      </c>
      <c r="AU724" s="103"/>
      <c r="AV724" s="103"/>
      <c r="AW724" s="104" t="str">
        <f>HYPERLINK("http://www.openstreetmap.org/?mlat=35.7672&amp;mlon=43.5762&amp;zoom=12#map=12/35.7672/43.5762","Maplink1")</f>
        <v>Maplink1</v>
      </c>
      <c r="AX724" s="104" t="str">
        <f>HYPERLINK("https://www.google.iq/maps/search/+35.7672,43.5762/@35.7672,43.5762,14z?hl=en","Maplink2")</f>
        <v>Maplink2</v>
      </c>
      <c r="AY724" s="104" t="str">
        <f>HYPERLINK("http://www.bing.com/maps/?lvl=14&amp;sty=h&amp;cp=35.7672~43.5762&amp;sp=point.35.7672_43.5762","Maplink3")</f>
        <v>Maplink3</v>
      </c>
    </row>
    <row r="725" spans="1:51" x14ac:dyDescent="0.2">
      <c r="A725" s="102">
        <v>33843</v>
      </c>
      <c r="B725" s="103" t="s">
        <v>33</v>
      </c>
      <c r="C725" s="103" t="s">
        <v>94</v>
      </c>
      <c r="D725" s="103" t="s">
        <v>1502</v>
      </c>
      <c r="E725" s="103" t="s">
        <v>1503</v>
      </c>
      <c r="F725" s="103">
        <v>36.087220000000002</v>
      </c>
      <c r="G725" s="103">
        <v>43.541939999999997</v>
      </c>
      <c r="H725" s="102">
        <v>189</v>
      </c>
      <c r="I725" s="102">
        <v>1134</v>
      </c>
      <c r="J725" s="103"/>
      <c r="K725" s="103"/>
      <c r="L725" s="103"/>
      <c r="M725" s="103">
        <v>189</v>
      </c>
      <c r="N725" s="103"/>
      <c r="O725" s="103"/>
      <c r="P725" s="103"/>
      <c r="Q725" s="103"/>
      <c r="R725" s="103"/>
      <c r="S725" s="103"/>
      <c r="T725" s="103"/>
      <c r="U725" s="103"/>
      <c r="V725" s="103"/>
      <c r="W725" s="103"/>
      <c r="X725" s="103"/>
      <c r="Y725" s="103"/>
      <c r="Z725" s="103"/>
      <c r="AA725" s="103">
        <v>189</v>
      </c>
      <c r="AB725" s="103"/>
      <c r="AC725" s="103"/>
      <c r="AD725" s="103"/>
      <c r="AE725" s="103"/>
      <c r="AF725" s="103"/>
      <c r="AG725" s="103"/>
      <c r="AH725" s="103"/>
      <c r="AI725" s="103"/>
      <c r="AJ725" s="103"/>
      <c r="AK725" s="103"/>
      <c r="AL725" s="103"/>
      <c r="AM725" s="103"/>
      <c r="AN725" s="103"/>
      <c r="AO725" s="103"/>
      <c r="AP725" s="103"/>
      <c r="AQ725" s="103"/>
      <c r="AR725" s="103"/>
      <c r="AS725" s="103"/>
      <c r="AT725" s="103">
        <v>189</v>
      </c>
      <c r="AU725" s="103"/>
      <c r="AV725" s="103"/>
      <c r="AW725" s="104" t="str">
        <f>HYPERLINK("http://www.openstreetmap.org/?mlat=36.0872&amp;mlon=43.5419&amp;zoom=12#map=12/36.0872/43.5419","Maplink1")</f>
        <v>Maplink1</v>
      </c>
      <c r="AX725" s="104" t="str">
        <f>HYPERLINK("https://www.google.iq/maps/search/+36.0872,43.5419/@36.0872,43.5419,14z?hl=en","Maplink2")</f>
        <v>Maplink2</v>
      </c>
      <c r="AY725" s="104" t="str">
        <f>HYPERLINK("http://www.bing.com/maps/?lvl=14&amp;sty=h&amp;cp=36.0872~43.5419&amp;sp=point.36.0872_43.5419","Maplink3")</f>
        <v>Maplink3</v>
      </c>
    </row>
    <row r="726" spans="1:51" x14ac:dyDescent="0.2">
      <c r="A726" s="102">
        <v>13491</v>
      </c>
      <c r="B726" s="103" t="s">
        <v>33</v>
      </c>
      <c r="C726" s="103" t="s">
        <v>94</v>
      </c>
      <c r="D726" s="103" t="s">
        <v>1504</v>
      </c>
      <c r="E726" s="103" t="s">
        <v>1505</v>
      </c>
      <c r="F726" s="103">
        <v>35.624499999999998</v>
      </c>
      <c r="G726" s="103">
        <v>43.660299999999999</v>
      </c>
      <c r="H726" s="102">
        <v>3</v>
      </c>
      <c r="I726" s="102">
        <v>18</v>
      </c>
      <c r="J726" s="103"/>
      <c r="K726" s="103"/>
      <c r="L726" s="103"/>
      <c r="M726" s="103">
        <v>3</v>
      </c>
      <c r="N726" s="103"/>
      <c r="O726" s="103"/>
      <c r="P726" s="103"/>
      <c r="Q726" s="103"/>
      <c r="R726" s="103"/>
      <c r="S726" s="103"/>
      <c r="T726" s="103"/>
      <c r="U726" s="103"/>
      <c r="V726" s="103"/>
      <c r="W726" s="103"/>
      <c r="X726" s="103"/>
      <c r="Y726" s="103"/>
      <c r="Z726" s="103"/>
      <c r="AA726" s="103">
        <v>3</v>
      </c>
      <c r="AB726" s="103"/>
      <c r="AC726" s="103"/>
      <c r="AD726" s="103"/>
      <c r="AE726" s="103"/>
      <c r="AF726" s="103"/>
      <c r="AG726" s="103"/>
      <c r="AH726" s="103"/>
      <c r="AI726" s="103"/>
      <c r="AJ726" s="103"/>
      <c r="AK726" s="103"/>
      <c r="AL726" s="103"/>
      <c r="AM726" s="103"/>
      <c r="AN726" s="103"/>
      <c r="AO726" s="103">
        <v>3</v>
      </c>
      <c r="AP726" s="103"/>
      <c r="AQ726" s="103"/>
      <c r="AR726" s="103"/>
      <c r="AS726" s="103"/>
      <c r="AT726" s="103"/>
      <c r="AU726" s="103"/>
      <c r="AV726" s="103"/>
      <c r="AW726" s="104" t="str">
        <f>HYPERLINK("http://www.openstreetmap.org/?mlat=35.6245&amp;mlon=43.6603&amp;zoom=12#map=12/35.6245/43.6603","Maplink1")</f>
        <v>Maplink1</v>
      </c>
      <c r="AX726" s="104" t="str">
        <f>HYPERLINK("https://www.google.iq/maps/search/+35.6245,43.6603/@35.6245,43.6603,14z?hl=en","Maplink2")</f>
        <v>Maplink2</v>
      </c>
      <c r="AY726" s="104" t="str">
        <f>HYPERLINK("http://www.bing.com/maps/?lvl=14&amp;sty=h&amp;cp=35.6245~43.6603&amp;sp=point.35.6245_43.6603","Maplink3")</f>
        <v>Maplink3</v>
      </c>
    </row>
    <row r="727" spans="1:51" x14ac:dyDescent="0.2">
      <c r="A727" s="102">
        <v>13357</v>
      </c>
      <c r="B727" s="103" t="s">
        <v>33</v>
      </c>
      <c r="C727" s="103" t="s">
        <v>94</v>
      </c>
      <c r="D727" s="103" t="s">
        <v>1482</v>
      </c>
      <c r="E727" s="103" t="s">
        <v>1483</v>
      </c>
      <c r="F727" s="103">
        <v>35.856200000000001</v>
      </c>
      <c r="G727" s="103">
        <v>43.379174651200003</v>
      </c>
      <c r="H727" s="102">
        <v>113</v>
      </c>
      <c r="I727" s="102">
        <v>678</v>
      </c>
      <c r="J727" s="103"/>
      <c r="K727" s="103"/>
      <c r="L727" s="103"/>
      <c r="M727" s="103">
        <v>113</v>
      </c>
      <c r="N727" s="103"/>
      <c r="O727" s="103"/>
      <c r="P727" s="103"/>
      <c r="Q727" s="103"/>
      <c r="R727" s="103"/>
      <c r="S727" s="103"/>
      <c r="T727" s="103"/>
      <c r="U727" s="103"/>
      <c r="V727" s="103"/>
      <c r="W727" s="103"/>
      <c r="X727" s="103"/>
      <c r="Y727" s="103"/>
      <c r="Z727" s="103"/>
      <c r="AA727" s="103">
        <v>10</v>
      </c>
      <c r="AB727" s="103"/>
      <c r="AC727" s="103"/>
      <c r="AD727" s="103"/>
      <c r="AE727" s="103"/>
      <c r="AF727" s="103"/>
      <c r="AG727" s="103">
        <v>103</v>
      </c>
      <c r="AH727" s="103"/>
      <c r="AI727" s="103"/>
      <c r="AJ727" s="103"/>
      <c r="AK727" s="103"/>
      <c r="AL727" s="103"/>
      <c r="AM727" s="103"/>
      <c r="AN727" s="103">
        <v>10</v>
      </c>
      <c r="AO727" s="103"/>
      <c r="AP727" s="103"/>
      <c r="AQ727" s="103"/>
      <c r="AR727" s="103"/>
      <c r="AS727" s="103"/>
      <c r="AT727" s="103">
        <v>103</v>
      </c>
      <c r="AU727" s="103"/>
      <c r="AV727" s="103"/>
      <c r="AW727" s="104" t="str">
        <f>HYPERLINK("http://www.openstreetmap.org/?mlat=35.8562&amp;mlon=43.3792&amp;zoom=12#map=12/35.8562/43.3792","Maplink1")</f>
        <v>Maplink1</v>
      </c>
      <c r="AX727" s="104" t="str">
        <f>HYPERLINK("https://www.google.iq/maps/search/+35.8562,43.3792/@35.8562,43.3792,14z?hl=en","Maplink2")</f>
        <v>Maplink2</v>
      </c>
      <c r="AY727" s="104" t="str">
        <f>HYPERLINK("http://www.bing.com/maps/?lvl=14&amp;sty=h&amp;cp=35.8562~43.3792&amp;sp=point.35.8562_43.3792","Maplink3")</f>
        <v>Maplink3</v>
      </c>
    </row>
    <row r="728" spans="1:51" x14ac:dyDescent="0.2">
      <c r="A728" s="102">
        <v>13278</v>
      </c>
      <c r="B728" s="103" t="s">
        <v>33</v>
      </c>
      <c r="C728" s="103" t="s">
        <v>94</v>
      </c>
      <c r="D728" s="103" t="s">
        <v>1484</v>
      </c>
      <c r="E728" s="103" t="s">
        <v>1485</v>
      </c>
      <c r="F728" s="103">
        <v>35.826799999999999</v>
      </c>
      <c r="G728" s="103">
        <v>43.390215144899997</v>
      </c>
      <c r="H728" s="102">
        <v>35</v>
      </c>
      <c r="I728" s="102">
        <v>210</v>
      </c>
      <c r="J728" s="103"/>
      <c r="K728" s="103"/>
      <c r="L728" s="103"/>
      <c r="M728" s="103">
        <v>35</v>
      </c>
      <c r="N728" s="103"/>
      <c r="O728" s="103"/>
      <c r="P728" s="103"/>
      <c r="Q728" s="103"/>
      <c r="R728" s="103"/>
      <c r="S728" s="103"/>
      <c r="T728" s="103"/>
      <c r="U728" s="103"/>
      <c r="V728" s="103"/>
      <c r="W728" s="103"/>
      <c r="X728" s="103"/>
      <c r="Y728" s="103"/>
      <c r="Z728" s="103"/>
      <c r="AA728" s="103">
        <v>10</v>
      </c>
      <c r="AB728" s="103"/>
      <c r="AC728" s="103">
        <v>25</v>
      </c>
      <c r="AD728" s="103"/>
      <c r="AE728" s="103"/>
      <c r="AF728" s="103"/>
      <c r="AG728" s="103"/>
      <c r="AH728" s="103"/>
      <c r="AI728" s="103"/>
      <c r="AJ728" s="103"/>
      <c r="AK728" s="103"/>
      <c r="AL728" s="103"/>
      <c r="AM728" s="103"/>
      <c r="AN728" s="103">
        <v>10</v>
      </c>
      <c r="AO728" s="103"/>
      <c r="AP728" s="103">
        <v>25</v>
      </c>
      <c r="AQ728" s="103"/>
      <c r="AR728" s="103"/>
      <c r="AS728" s="103"/>
      <c r="AT728" s="103"/>
      <c r="AU728" s="103"/>
      <c r="AV728" s="103"/>
      <c r="AW728" s="104" t="str">
        <f>HYPERLINK("http://www.openstreetmap.org/?mlat=35.8268&amp;mlon=43.3902&amp;zoom=12#map=12/35.8268/43.3902","Maplink1")</f>
        <v>Maplink1</v>
      </c>
      <c r="AX728" s="104" t="str">
        <f>HYPERLINK("https://www.google.iq/maps/search/+35.8268,43.3902/@35.8268,43.3902,14z?hl=en","Maplink2")</f>
        <v>Maplink2</v>
      </c>
      <c r="AY728" s="104" t="str">
        <f>HYPERLINK("http://www.bing.com/maps/?lvl=14&amp;sty=h&amp;cp=35.8268~43.3902&amp;sp=point.35.8268_43.3902","Maplink3")</f>
        <v>Maplink3</v>
      </c>
    </row>
    <row r="729" spans="1:51" x14ac:dyDescent="0.2">
      <c r="A729" s="102">
        <v>13504</v>
      </c>
      <c r="B729" s="103" t="s">
        <v>33</v>
      </c>
      <c r="C729" s="103" t="s">
        <v>94</v>
      </c>
      <c r="D729" s="103" t="s">
        <v>1486</v>
      </c>
      <c r="E729" s="103" t="s">
        <v>1487</v>
      </c>
      <c r="F729" s="103">
        <v>35.478200000000001</v>
      </c>
      <c r="G729" s="103">
        <v>43.5289</v>
      </c>
      <c r="H729" s="102">
        <v>13</v>
      </c>
      <c r="I729" s="102">
        <v>78</v>
      </c>
      <c r="J729" s="103"/>
      <c r="K729" s="103"/>
      <c r="L729" s="103"/>
      <c r="M729" s="103">
        <v>13</v>
      </c>
      <c r="N729" s="103"/>
      <c r="O729" s="103"/>
      <c r="P729" s="103"/>
      <c r="Q729" s="103"/>
      <c r="R729" s="103"/>
      <c r="S729" s="103"/>
      <c r="T729" s="103"/>
      <c r="U729" s="103"/>
      <c r="V729" s="103"/>
      <c r="W729" s="103"/>
      <c r="X729" s="103"/>
      <c r="Y729" s="103"/>
      <c r="Z729" s="103"/>
      <c r="AA729" s="103">
        <v>7</v>
      </c>
      <c r="AB729" s="103"/>
      <c r="AC729" s="103"/>
      <c r="AD729" s="103"/>
      <c r="AE729" s="103"/>
      <c r="AF729" s="103"/>
      <c r="AG729" s="103">
        <v>6</v>
      </c>
      <c r="AH729" s="103"/>
      <c r="AI729" s="103"/>
      <c r="AJ729" s="103"/>
      <c r="AK729" s="103"/>
      <c r="AL729" s="103"/>
      <c r="AM729" s="103"/>
      <c r="AN729" s="103"/>
      <c r="AO729" s="103">
        <v>13</v>
      </c>
      <c r="AP729" s="103"/>
      <c r="AQ729" s="103"/>
      <c r="AR729" s="103"/>
      <c r="AS729" s="103"/>
      <c r="AT729" s="103"/>
      <c r="AU729" s="103"/>
      <c r="AV729" s="103"/>
      <c r="AW729" s="104" t="str">
        <f>HYPERLINK("http://www.openstreetmap.org/?mlat=35.4782&amp;mlon=43.5289&amp;zoom=12#map=12/35.4782/43.5289","Maplink1")</f>
        <v>Maplink1</v>
      </c>
      <c r="AX729" s="104" t="str">
        <f>HYPERLINK("https://www.google.iq/maps/search/+35.4782,43.5289/@35.4782,43.5289,14z?hl=en","Maplink2")</f>
        <v>Maplink2</v>
      </c>
      <c r="AY729" s="104" t="str">
        <f>HYPERLINK("http://www.bing.com/maps/?lvl=14&amp;sty=h&amp;cp=35.4782~43.5289&amp;sp=point.35.4782_43.5289","Maplink3")</f>
        <v>Maplink3</v>
      </c>
    </row>
    <row r="730" spans="1:51" x14ac:dyDescent="0.2">
      <c r="A730" s="102">
        <v>13411</v>
      </c>
      <c r="B730" s="103" t="s">
        <v>33</v>
      </c>
      <c r="C730" s="103" t="s">
        <v>94</v>
      </c>
      <c r="D730" s="103" t="s">
        <v>1488</v>
      </c>
      <c r="E730" s="103" t="s">
        <v>1489</v>
      </c>
      <c r="F730" s="103">
        <v>35.520600000000002</v>
      </c>
      <c r="G730" s="103">
        <v>43.471800000000002</v>
      </c>
      <c r="H730" s="102">
        <v>82</v>
      </c>
      <c r="I730" s="102">
        <v>492</v>
      </c>
      <c r="J730" s="103"/>
      <c r="K730" s="103"/>
      <c r="L730" s="103"/>
      <c r="M730" s="103">
        <v>82</v>
      </c>
      <c r="N730" s="103"/>
      <c r="O730" s="103"/>
      <c r="P730" s="103"/>
      <c r="Q730" s="103"/>
      <c r="R730" s="103"/>
      <c r="S730" s="103"/>
      <c r="T730" s="103"/>
      <c r="U730" s="103"/>
      <c r="V730" s="103"/>
      <c r="W730" s="103"/>
      <c r="X730" s="103"/>
      <c r="Y730" s="103"/>
      <c r="Z730" s="103"/>
      <c r="AA730" s="103">
        <v>28</v>
      </c>
      <c r="AB730" s="103"/>
      <c r="AC730" s="103"/>
      <c r="AD730" s="103"/>
      <c r="AE730" s="103"/>
      <c r="AF730" s="103"/>
      <c r="AG730" s="103">
        <v>54</v>
      </c>
      <c r="AH730" s="103"/>
      <c r="AI730" s="103"/>
      <c r="AJ730" s="103"/>
      <c r="AK730" s="103"/>
      <c r="AL730" s="103"/>
      <c r="AM730" s="103"/>
      <c r="AN730" s="103"/>
      <c r="AO730" s="103">
        <v>82</v>
      </c>
      <c r="AP730" s="103"/>
      <c r="AQ730" s="103"/>
      <c r="AR730" s="103"/>
      <c r="AS730" s="103"/>
      <c r="AT730" s="103"/>
      <c r="AU730" s="103"/>
      <c r="AV730" s="103"/>
      <c r="AW730" s="104" t="str">
        <f>HYPERLINK("http://www.openstreetmap.org/?mlat=35.5206&amp;mlon=43.4718&amp;zoom=12#map=12/35.5206/43.4718","Maplink1")</f>
        <v>Maplink1</v>
      </c>
      <c r="AX730" s="104" t="str">
        <f>HYPERLINK("https://www.google.iq/maps/search/+35.5206,43.4718/@35.5206,43.4718,14z?hl=en","Maplink2")</f>
        <v>Maplink2</v>
      </c>
      <c r="AY730" s="104" t="str">
        <f>HYPERLINK("http://www.bing.com/maps/?lvl=14&amp;sty=h&amp;cp=35.5206~43.4718&amp;sp=point.35.5206_43.4718","Maplink3")</f>
        <v>Maplink3</v>
      </c>
    </row>
    <row r="731" spans="1:51" x14ac:dyDescent="0.2">
      <c r="A731" s="102">
        <v>13550</v>
      </c>
      <c r="B731" s="103" t="s">
        <v>33</v>
      </c>
      <c r="C731" s="103" t="s">
        <v>94</v>
      </c>
      <c r="D731" s="103" t="s">
        <v>1442</v>
      </c>
      <c r="E731" s="103" t="s">
        <v>1443</v>
      </c>
      <c r="F731" s="103">
        <v>35.783299999999997</v>
      </c>
      <c r="G731" s="103">
        <v>43.352024522999997</v>
      </c>
      <c r="H731" s="102">
        <v>153</v>
      </c>
      <c r="I731" s="102">
        <v>918</v>
      </c>
      <c r="J731" s="103"/>
      <c r="K731" s="103"/>
      <c r="L731" s="103"/>
      <c r="M731" s="103">
        <v>153</v>
      </c>
      <c r="N731" s="103"/>
      <c r="O731" s="103"/>
      <c r="P731" s="103"/>
      <c r="Q731" s="103"/>
      <c r="R731" s="103"/>
      <c r="S731" s="103"/>
      <c r="T731" s="103"/>
      <c r="U731" s="103"/>
      <c r="V731" s="103"/>
      <c r="W731" s="103"/>
      <c r="X731" s="103"/>
      <c r="Y731" s="103"/>
      <c r="Z731" s="103"/>
      <c r="AA731" s="103">
        <v>153</v>
      </c>
      <c r="AB731" s="103"/>
      <c r="AC731" s="103"/>
      <c r="AD731" s="103"/>
      <c r="AE731" s="103"/>
      <c r="AF731" s="103"/>
      <c r="AG731" s="103"/>
      <c r="AH731" s="103"/>
      <c r="AI731" s="103"/>
      <c r="AJ731" s="103"/>
      <c r="AK731" s="103"/>
      <c r="AL731" s="103"/>
      <c r="AM731" s="103"/>
      <c r="AN731" s="103">
        <v>50</v>
      </c>
      <c r="AO731" s="103"/>
      <c r="AP731" s="103">
        <v>50</v>
      </c>
      <c r="AQ731" s="103"/>
      <c r="AR731" s="103"/>
      <c r="AS731" s="103"/>
      <c r="AT731" s="103">
        <v>53</v>
      </c>
      <c r="AU731" s="103"/>
      <c r="AV731" s="103"/>
      <c r="AW731" s="104" t="str">
        <f>HYPERLINK("http://www.openstreetmap.org/?mlat=35.7833&amp;mlon=43.352&amp;zoom=12#map=12/35.7833/43.352","Maplink1")</f>
        <v>Maplink1</v>
      </c>
      <c r="AX731" s="104" t="str">
        <f>HYPERLINK("https://www.google.iq/maps/search/+35.7833,43.352/@35.7833,43.352,14z?hl=en","Maplink2")</f>
        <v>Maplink2</v>
      </c>
      <c r="AY731" s="104" t="str">
        <f>HYPERLINK("http://www.bing.com/maps/?lvl=14&amp;sty=h&amp;cp=35.7833~43.352&amp;sp=point.35.7833_43.352","Maplink3")</f>
        <v>Maplink3</v>
      </c>
    </row>
    <row r="732" spans="1:51" x14ac:dyDescent="0.2">
      <c r="A732" s="102">
        <v>13251</v>
      </c>
      <c r="B732" s="103" t="s">
        <v>33</v>
      </c>
      <c r="C732" s="103" t="s">
        <v>94</v>
      </c>
      <c r="D732" s="103" t="s">
        <v>1444</v>
      </c>
      <c r="E732" s="103" t="s">
        <v>1445</v>
      </c>
      <c r="F732" s="103">
        <v>35.6158</v>
      </c>
      <c r="G732" s="103">
        <v>43.692599999999999</v>
      </c>
      <c r="H732" s="102">
        <v>9</v>
      </c>
      <c r="I732" s="102">
        <v>54</v>
      </c>
      <c r="J732" s="103"/>
      <c r="K732" s="103"/>
      <c r="L732" s="103"/>
      <c r="M732" s="103">
        <v>9</v>
      </c>
      <c r="N732" s="103"/>
      <c r="O732" s="103"/>
      <c r="P732" s="103"/>
      <c r="Q732" s="103"/>
      <c r="R732" s="103"/>
      <c r="S732" s="103"/>
      <c r="T732" s="103"/>
      <c r="U732" s="103"/>
      <c r="V732" s="103"/>
      <c r="W732" s="103"/>
      <c r="X732" s="103"/>
      <c r="Y732" s="103"/>
      <c r="Z732" s="103"/>
      <c r="AA732" s="103">
        <v>9</v>
      </c>
      <c r="AB732" s="103"/>
      <c r="AC732" s="103"/>
      <c r="AD732" s="103"/>
      <c r="AE732" s="103"/>
      <c r="AF732" s="103"/>
      <c r="AG732" s="103"/>
      <c r="AH732" s="103"/>
      <c r="AI732" s="103"/>
      <c r="AJ732" s="103"/>
      <c r="AK732" s="103"/>
      <c r="AL732" s="103"/>
      <c r="AM732" s="103"/>
      <c r="AN732" s="103"/>
      <c r="AO732" s="103">
        <v>9</v>
      </c>
      <c r="AP732" s="103"/>
      <c r="AQ732" s="103"/>
      <c r="AR732" s="103"/>
      <c r="AS732" s="103"/>
      <c r="AT732" s="103"/>
      <c r="AU732" s="103"/>
      <c r="AV732" s="103"/>
      <c r="AW732" s="104" t="str">
        <f>HYPERLINK("http://www.openstreetmap.org/?mlat=35.6158&amp;mlon=43.6926&amp;zoom=12#map=12/35.6158/43.6926","Maplink1")</f>
        <v>Maplink1</v>
      </c>
      <c r="AX732" s="104" t="str">
        <f>HYPERLINK("https://www.google.iq/maps/search/+35.6158,43.6926/@35.6158,43.6926,14z?hl=en","Maplink2")</f>
        <v>Maplink2</v>
      </c>
      <c r="AY732" s="104" t="str">
        <f>HYPERLINK("http://www.bing.com/maps/?lvl=14&amp;sty=h&amp;cp=35.6158~43.6926&amp;sp=point.35.6158_43.6926","Maplink3")</f>
        <v>Maplink3</v>
      </c>
    </row>
    <row r="733" spans="1:51" x14ac:dyDescent="0.2">
      <c r="A733" s="102">
        <v>15346</v>
      </c>
      <c r="B733" s="103" t="s">
        <v>34</v>
      </c>
      <c r="C733" s="103" t="s">
        <v>95</v>
      </c>
      <c r="D733" s="103" t="s">
        <v>1685</v>
      </c>
      <c r="E733" s="103" t="s">
        <v>1686</v>
      </c>
      <c r="F733" s="103">
        <v>35.383299999999998</v>
      </c>
      <c r="G733" s="103">
        <v>43.619493640599998</v>
      </c>
      <c r="H733" s="102">
        <v>845</v>
      </c>
      <c r="I733" s="102">
        <v>5070</v>
      </c>
      <c r="J733" s="103"/>
      <c r="K733" s="103"/>
      <c r="L733" s="103"/>
      <c r="M733" s="103">
        <v>845</v>
      </c>
      <c r="N733" s="103"/>
      <c r="O733" s="103"/>
      <c r="P733" s="103"/>
      <c r="Q733" s="103"/>
      <c r="R733" s="103"/>
      <c r="S733" s="103"/>
      <c r="T733" s="103"/>
      <c r="U733" s="103"/>
      <c r="V733" s="103"/>
      <c r="W733" s="103"/>
      <c r="X733" s="103"/>
      <c r="Y733" s="103"/>
      <c r="Z733" s="103"/>
      <c r="AA733" s="103"/>
      <c r="AB733" s="103"/>
      <c r="AC733" s="103">
        <v>440</v>
      </c>
      <c r="AD733" s="103"/>
      <c r="AE733" s="103"/>
      <c r="AF733" s="103"/>
      <c r="AG733" s="103">
        <v>255</v>
      </c>
      <c r="AH733" s="103"/>
      <c r="AI733" s="103">
        <v>150</v>
      </c>
      <c r="AJ733" s="103"/>
      <c r="AK733" s="103"/>
      <c r="AL733" s="103"/>
      <c r="AM733" s="103"/>
      <c r="AN733" s="103">
        <v>25</v>
      </c>
      <c r="AO733" s="103">
        <v>50</v>
      </c>
      <c r="AP733" s="103">
        <v>90</v>
      </c>
      <c r="AQ733" s="103">
        <v>25</v>
      </c>
      <c r="AR733" s="103">
        <v>135</v>
      </c>
      <c r="AS733" s="103">
        <v>180</v>
      </c>
      <c r="AT733" s="103">
        <v>340</v>
      </c>
      <c r="AU733" s="103"/>
      <c r="AV733" s="103"/>
      <c r="AW733" s="104" t="str">
        <f>HYPERLINK("http://www.openstreetmap.org/?mlat=35.3833&amp;mlon=43.6195&amp;zoom=12#map=12/35.3833/43.6195","Maplink1")</f>
        <v>Maplink1</v>
      </c>
      <c r="AX733" s="104" t="str">
        <f>HYPERLINK("https://www.google.iq/maps/search/+35.3833,43.6195/@35.3833,43.6195,14z?hl=en","Maplink2")</f>
        <v>Maplink2</v>
      </c>
      <c r="AY733" s="104" t="str">
        <f>HYPERLINK("http://www.bing.com/maps/?lvl=14&amp;sty=h&amp;cp=35.3833~43.6195&amp;sp=point.35.3833_43.6195","Maplink3")</f>
        <v>Maplink3</v>
      </c>
    </row>
    <row r="734" spans="1:51" x14ac:dyDescent="0.2">
      <c r="A734" s="102">
        <v>23660</v>
      </c>
      <c r="B734" s="103" t="s">
        <v>34</v>
      </c>
      <c r="C734" s="103" t="s">
        <v>95</v>
      </c>
      <c r="D734" s="103" t="s">
        <v>259</v>
      </c>
      <c r="E734" s="103" t="s">
        <v>1687</v>
      </c>
      <c r="F734" s="103">
        <v>35.32347</v>
      </c>
      <c r="G734" s="103">
        <v>43.774153292000001</v>
      </c>
      <c r="H734" s="102">
        <v>255</v>
      </c>
      <c r="I734" s="102">
        <v>1530</v>
      </c>
      <c r="J734" s="103"/>
      <c r="K734" s="103"/>
      <c r="L734" s="103"/>
      <c r="M734" s="103">
        <v>230</v>
      </c>
      <c r="N734" s="103">
        <v>25</v>
      </c>
      <c r="O734" s="103"/>
      <c r="P734" s="103"/>
      <c r="Q734" s="103"/>
      <c r="R734" s="103"/>
      <c r="S734" s="103"/>
      <c r="T734" s="103"/>
      <c r="U734" s="103"/>
      <c r="V734" s="103"/>
      <c r="W734" s="103"/>
      <c r="X734" s="103"/>
      <c r="Y734" s="103"/>
      <c r="Z734" s="103"/>
      <c r="AA734" s="103"/>
      <c r="AB734" s="103"/>
      <c r="AC734" s="103">
        <v>225</v>
      </c>
      <c r="AD734" s="103"/>
      <c r="AE734" s="103"/>
      <c r="AF734" s="103"/>
      <c r="AG734" s="103"/>
      <c r="AH734" s="103"/>
      <c r="AI734" s="103">
        <v>30</v>
      </c>
      <c r="AJ734" s="103"/>
      <c r="AK734" s="103"/>
      <c r="AL734" s="103"/>
      <c r="AM734" s="103"/>
      <c r="AN734" s="103">
        <v>30</v>
      </c>
      <c r="AO734" s="103">
        <v>15</v>
      </c>
      <c r="AP734" s="103">
        <v>35</v>
      </c>
      <c r="AQ734" s="103">
        <v>45</v>
      </c>
      <c r="AR734" s="103">
        <v>50</v>
      </c>
      <c r="AS734" s="103">
        <v>55</v>
      </c>
      <c r="AT734" s="103">
        <v>25</v>
      </c>
      <c r="AU734" s="103"/>
      <c r="AV734" s="103"/>
      <c r="AW734" s="104" t="str">
        <f>HYPERLINK("http://www.openstreetmap.org/?mlat=35.3235&amp;mlon=43.7742&amp;zoom=12#map=12/35.3235/43.7742","Maplink1")</f>
        <v>Maplink1</v>
      </c>
      <c r="AX734" s="104" t="str">
        <f>HYPERLINK("https://www.google.iq/maps/search/+35.3235,43.7742/@35.3235,43.7742,14z?hl=en","Maplink2")</f>
        <v>Maplink2</v>
      </c>
      <c r="AY734" s="104" t="str">
        <f>HYPERLINK("http://www.bing.com/maps/?lvl=14&amp;sty=h&amp;cp=35.3235~43.7742&amp;sp=point.35.3235_43.7742","Maplink3")</f>
        <v>Maplink3</v>
      </c>
    </row>
    <row r="735" spans="1:51" x14ac:dyDescent="0.2">
      <c r="A735" s="102">
        <v>15150</v>
      </c>
      <c r="B735" s="103" t="s">
        <v>34</v>
      </c>
      <c r="C735" s="103" t="s">
        <v>95</v>
      </c>
      <c r="D735" s="103" t="s">
        <v>1688</v>
      </c>
      <c r="E735" s="103" t="s">
        <v>1689</v>
      </c>
      <c r="F735" s="103">
        <v>35.228050000000003</v>
      </c>
      <c r="G735" s="103">
        <v>43.761368948700003</v>
      </c>
      <c r="H735" s="102">
        <v>29</v>
      </c>
      <c r="I735" s="102">
        <v>174</v>
      </c>
      <c r="J735" s="103"/>
      <c r="K735" s="103"/>
      <c r="L735" s="103"/>
      <c r="M735" s="103">
        <v>25</v>
      </c>
      <c r="N735" s="103">
        <v>4</v>
      </c>
      <c r="O735" s="103"/>
      <c r="P735" s="103"/>
      <c r="Q735" s="103"/>
      <c r="R735" s="103"/>
      <c r="S735" s="103"/>
      <c r="T735" s="103"/>
      <c r="U735" s="103"/>
      <c r="V735" s="103"/>
      <c r="W735" s="103"/>
      <c r="X735" s="103"/>
      <c r="Y735" s="103"/>
      <c r="Z735" s="103"/>
      <c r="AA735" s="103"/>
      <c r="AB735" s="103"/>
      <c r="AC735" s="103">
        <v>29</v>
      </c>
      <c r="AD735" s="103"/>
      <c r="AE735" s="103"/>
      <c r="AF735" s="103"/>
      <c r="AG735" s="103"/>
      <c r="AH735" s="103"/>
      <c r="AI735" s="103"/>
      <c r="AJ735" s="103"/>
      <c r="AK735" s="103"/>
      <c r="AL735" s="103"/>
      <c r="AM735" s="103"/>
      <c r="AN735" s="103"/>
      <c r="AO735" s="103">
        <v>2</v>
      </c>
      <c r="AP735" s="103">
        <v>3</v>
      </c>
      <c r="AQ735" s="103">
        <v>6</v>
      </c>
      <c r="AR735" s="103">
        <v>11</v>
      </c>
      <c r="AS735" s="103">
        <v>3</v>
      </c>
      <c r="AT735" s="103">
        <v>4</v>
      </c>
      <c r="AU735" s="103"/>
      <c r="AV735" s="103"/>
      <c r="AW735" s="104" t="str">
        <f>HYPERLINK("http://www.openstreetmap.org/?mlat=35.2281&amp;mlon=43.7614&amp;zoom=12#map=12/35.2281/43.7614","Maplink1")</f>
        <v>Maplink1</v>
      </c>
      <c r="AX735" s="104" t="str">
        <f>HYPERLINK("https://www.google.iq/maps/search/+35.2281,43.7614/@35.2281,43.7614,14z?hl=en","Maplink2")</f>
        <v>Maplink2</v>
      </c>
      <c r="AY735" s="104" t="str">
        <f>HYPERLINK("http://www.bing.com/maps/?lvl=14&amp;sty=h&amp;cp=35.2281~43.7614&amp;sp=point.35.2281_43.7614","Maplink3")</f>
        <v>Maplink3</v>
      </c>
    </row>
    <row r="736" spans="1:51" x14ac:dyDescent="0.2">
      <c r="A736" s="102">
        <v>15354</v>
      </c>
      <c r="B736" s="103" t="s">
        <v>34</v>
      </c>
      <c r="C736" s="103" t="s">
        <v>95</v>
      </c>
      <c r="D736" s="103" t="s">
        <v>1690</v>
      </c>
      <c r="E736" s="103" t="s">
        <v>1691</v>
      </c>
      <c r="F736" s="103">
        <v>35.385640000000002</v>
      </c>
      <c r="G736" s="103">
        <v>43.749696229999998</v>
      </c>
      <c r="H736" s="102">
        <v>130</v>
      </c>
      <c r="I736" s="102">
        <v>780</v>
      </c>
      <c r="J736" s="103"/>
      <c r="K736" s="103"/>
      <c r="L736" s="103"/>
      <c r="M736" s="103">
        <v>126</v>
      </c>
      <c r="N736" s="103">
        <v>4</v>
      </c>
      <c r="O736" s="103"/>
      <c r="P736" s="103"/>
      <c r="Q736" s="103"/>
      <c r="R736" s="103"/>
      <c r="S736" s="103"/>
      <c r="T736" s="103"/>
      <c r="U736" s="103"/>
      <c r="V736" s="103"/>
      <c r="W736" s="103"/>
      <c r="X736" s="103"/>
      <c r="Y736" s="103"/>
      <c r="Z736" s="103"/>
      <c r="AA736" s="103"/>
      <c r="AB736" s="103"/>
      <c r="AC736" s="103">
        <v>96</v>
      </c>
      <c r="AD736" s="103"/>
      <c r="AE736" s="103"/>
      <c r="AF736" s="103"/>
      <c r="AG736" s="103">
        <v>11</v>
      </c>
      <c r="AH736" s="103"/>
      <c r="AI736" s="103">
        <v>19</v>
      </c>
      <c r="AJ736" s="103">
        <v>4</v>
      </c>
      <c r="AK736" s="103"/>
      <c r="AL736" s="103"/>
      <c r="AM736" s="103"/>
      <c r="AN736" s="103">
        <v>20</v>
      </c>
      <c r="AO736" s="103"/>
      <c r="AP736" s="103">
        <v>28</v>
      </c>
      <c r="AQ736" s="103">
        <v>10</v>
      </c>
      <c r="AR736" s="103">
        <v>35</v>
      </c>
      <c r="AS736" s="103">
        <v>12</v>
      </c>
      <c r="AT736" s="103">
        <v>25</v>
      </c>
      <c r="AU736" s="103"/>
      <c r="AV736" s="103"/>
      <c r="AW736" s="104" t="str">
        <f>HYPERLINK("http://www.openstreetmap.org/?mlat=35.3856&amp;mlon=43.7497&amp;zoom=12#map=12/35.3856/43.7497","Maplink1")</f>
        <v>Maplink1</v>
      </c>
      <c r="AX736" s="104" t="str">
        <f>HYPERLINK("https://www.google.iq/maps/search/+35.3856,43.7497/@35.3856,43.7497,14z?hl=en","Maplink2")</f>
        <v>Maplink2</v>
      </c>
      <c r="AY736" s="104" t="str">
        <f>HYPERLINK("http://www.bing.com/maps/?lvl=14&amp;sty=h&amp;cp=35.3856~43.7497&amp;sp=point.35.3856_43.7497","Maplink3")</f>
        <v>Maplink3</v>
      </c>
    </row>
    <row r="737" spans="1:51" x14ac:dyDescent="0.2">
      <c r="A737" s="102">
        <v>33577</v>
      </c>
      <c r="B737" s="103" t="s">
        <v>34</v>
      </c>
      <c r="C737" s="103" t="s">
        <v>95</v>
      </c>
      <c r="D737" s="103" t="s">
        <v>1692</v>
      </c>
      <c r="E737" s="103" t="s">
        <v>1693</v>
      </c>
      <c r="F737" s="103">
        <v>35.340560000000004</v>
      </c>
      <c r="G737" s="103">
        <v>43.799212210699999</v>
      </c>
      <c r="H737" s="102">
        <v>102</v>
      </c>
      <c r="I737" s="102">
        <v>612</v>
      </c>
      <c r="J737" s="103"/>
      <c r="K737" s="103"/>
      <c r="L737" s="103"/>
      <c r="M737" s="103">
        <v>102</v>
      </c>
      <c r="N737" s="103"/>
      <c r="O737" s="103"/>
      <c r="P737" s="103"/>
      <c r="Q737" s="103"/>
      <c r="R737" s="103"/>
      <c r="S737" s="103"/>
      <c r="T737" s="103"/>
      <c r="U737" s="103"/>
      <c r="V737" s="103"/>
      <c r="W737" s="103"/>
      <c r="X737" s="103"/>
      <c r="Y737" s="103"/>
      <c r="Z737" s="103"/>
      <c r="AA737" s="103"/>
      <c r="AB737" s="103"/>
      <c r="AC737" s="103">
        <v>97</v>
      </c>
      <c r="AD737" s="103"/>
      <c r="AE737" s="103"/>
      <c r="AF737" s="103"/>
      <c r="AG737" s="103"/>
      <c r="AH737" s="103"/>
      <c r="AI737" s="103">
        <v>5</v>
      </c>
      <c r="AJ737" s="103"/>
      <c r="AK737" s="103"/>
      <c r="AL737" s="103"/>
      <c r="AM737" s="103">
        <v>5</v>
      </c>
      <c r="AN737" s="103">
        <v>10</v>
      </c>
      <c r="AO737" s="103">
        <v>9</v>
      </c>
      <c r="AP737" s="103">
        <v>20</v>
      </c>
      <c r="AQ737" s="103">
        <v>20</v>
      </c>
      <c r="AR737" s="103">
        <v>25</v>
      </c>
      <c r="AS737" s="103">
        <v>13</v>
      </c>
      <c r="AT737" s="103"/>
      <c r="AU737" s="103"/>
      <c r="AV737" s="103"/>
      <c r="AW737" s="104" t="str">
        <f>HYPERLINK("http://www.openstreetmap.org/?mlat=35.3406&amp;mlon=43.7992&amp;zoom=12#map=12/35.3406/43.7992","Maplink1")</f>
        <v>Maplink1</v>
      </c>
      <c r="AX737" s="104" t="str">
        <f>HYPERLINK("https://www.google.iq/maps/search/+35.3406,43.7992/@35.3406,43.7992,14z?hl=en","Maplink2")</f>
        <v>Maplink2</v>
      </c>
      <c r="AY737" s="104" t="str">
        <f>HYPERLINK("http://www.bing.com/maps/?lvl=14&amp;sty=h&amp;cp=35.3406~43.7992&amp;sp=point.35.3406_43.7992","Maplink3")</f>
        <v>Maplink3</v>
      </c>
    </row>
    <row r="738" spans="1:51" x14ac:dyDescent="0.2">
      <c r="A738" s="102">
        <v>15006</v>
      </c>
      <c r="B738" s="103" t="s">
        <v>34</v>
      </c>
      <c r="C738" s="103" t="s">
        <v>95</v>
      </c>
      <c r="D738" s="103" t="s">
        <v>1705</v>
      </c>
      <c r="E738" s="103" t="s">
        <v>1706</v>
      </c>
      <c r="F738" s="103">
        <v>35.331409999999998</v>
      </c>
      <c r="G738" s="103">
        <v>43.712308306200001</v>
      </c>
      <c r="H738" s="102">
        <v>81</v>
      </c>
      <c r="I738" s="102">
        <v>486</v>
      </c>
      <c r="J738" s="103"/>
      <c r="K738" s="103"/>
      <c r="L738" s="103"/>
      <c r="M738" s="103">
        <v>81</v>
      </c>
      <c r="N738" s="103"/>
      <c r="O738" s="103"/>
      <c r="P738" s="103"/>
      <c r="Q738" s="103"/>
      <c r="R738" s="103"/>
      <c r="S738" s="103"/>
      <c r="T738" s="103"/>
      <c r="U738" s="103"/>
      <c r="V738" s="103"/>
      <c r="W738" s="103"/>
      <c r="X738" s="103"/>
      <c r="Y738" s="103"/>
      <c r="Z738" s="103"/>
      <c r="AA738" s="103"/>
      <c r="AB738" s="103"/>
      <c r="AC738" s="103">
        <v>71</v>
      </c>
      <c r="AD738" s="103"/>
      <c r="AE738" s="103"/>
      <c r="AF738" s="103"/>
      <c r="AG738" s="103"/>
      <c r="AH738" s="103"/>
      <c r="AI738" s="103">
        <v>10</v>
      </c>
      <c r="AJ738" s="103"/>
      <c r="AK738" s="103"/>
      <c r="AL738" s="103"/>
      <c r="AM738" s="103"/>
      <c r="AN738" s="103">
        <v>5</v>
      </c>
      <c r="AO738" s="103"/>
      <c r="AP738" s="103">
        <v>7</v>
      </c>
      <c r="AQ738" s="103">
        <v>15</v>
      </c>
      <c r="AR738" s="103">
        <v>24</v>
      </c>
      <c r="AS738" s="103">
        <v>25</v>
      </c>
      <c r="AT738" s="103">
        <v>5</v>
      </c>
      <c r="AU738" s="103"/>
      <c r="AV738" s="103"/>
      <c r="AW738" s="104" t="str">
        <f>HYPERLINK("http://www.openstreetmap.org/?mlat=35.3314&amp;mlon=43.7123&amp;zoom=12#map=12/35.3314/43.7123","Maplink1")</f>
        <v>Maplink1</v>
      </c>
      <c r="AX738" s="104" t="str">
        <f>HYPERLINK("https://www.google.iq/maps/search/+35.3314,43.7123/@35.3314,43.7123,14z?hl=en","Maplink2")</f>
        <v>Maplink2</v>
      </c>
      <c r="AY738" s="104" t="str">
        <f>HYPERLINK("http://www.bing.com/maps/?lvl=14&amp;sty=h&amp;cp=35.3314~43.7123&amp;sp=point.35.3314_43.7123","Maplink3")</f>
        <v>Maplink3</v>
      </c>
    </row>
    <row r="739" spans="1:51" x14ac:dyDescent="0.2">
      <c r="A739" s="102">
        <v>14989</v>
      </c>
      <c r="B739" s="103" t="s">
        <v>34</v>
      </c>
      <c r="C739" s="103" t="s">
        <v>95</v>
      </c>
      <c r="D739" s="103" t="s">
        <v>1707</v>
      </c>
      <c r="E739" s="103" t="s">
        <v>1708</v>
      </c>
      <c r="F739" s="103">
        <v>35.280050000000003</v>
      </c>
      <c r="G739" s="103">
        <v>43.676990587200002</v>
      </c>
      <c r="H739" s="102">
        <v>92</v>
      </c>
      <c r="I739" s="102">
        <v>552</v>
      </c>
      <c r="J739" s="103"/>
      <c r="K739" s="103"/>
      <c r="L739" s="103"/>
      <c r="M739" s="103">
        <v>92</v>
      </c>
      <c r="N739" s="103"/>
      <c r="O739" s="103"/>
      <c r="P739" s="103"/>
      <c r="Q739" s="103"/>
      <c r="R739" s="103"/>
      <c r="S739" s="103"/>
      <c r="T739" s="103"/>
      <c r="U739" s="103"/>
      <c r="V739" s="103"/>
      <c r="W739" s="103"/>
      <c r="X739" s="103"/>
      <c r="Y739" s="103"/>
      <c r="Z739" s="103"/>
      <c r="AA739" s="103"/>
      <c r="AB739" s="103"/>
      <c r="AC739" s="103">
        <v>64</v>
      </c>
      <c r="AD739" s="103"/>
      <c r="AE739" s="103"/>
      <c r="AF739" s="103"/>
      <c r="AG739" s="103"/>
      <c r="AH739" s="103"/>
      <c r="AI739" s="103">
        <v>28</v>
      </c>
      <c r="AJ739" s="103"/>
      <c r="AK739" s="103"/>
      <c r="AL739" s="103"/>
      <c r="AM739" s="103"/>
      <c r="AN739" s="103">
        <v>10</v>
      </c>
      <c r="AO739" s="103">
        <v>10</v>
      </c>
      <c r="AP739" s="103">
        <v>15</v>
      </c>
      <c r="AQ739" s="103">
        <v>5</v>
      </c>
      <c r="AR739" s="103">
        <v>15</v>
      </c>
      <c r="AS739" s="103">
        <v>30</v>
      </c>
      <c r="AT739" s="103">
        <v>7</v>
      </c>
      <c r="AU739" s="103"/>
      <c r="AV739" s="103"/>
      <c r="AW739" s="104" t="str">
        <f>HYPERLINK("http://www.openstreetmap.org/?mlat=35.2801&amp;mlon=43.677&amp;zoom=12#map=12/35.2801/43.677","Maplink1")</f>
        <v>Maplink1</v>
      </c>
      <c r="AX739" s="104" t="str">
        <f>HYPERLINK("https://www.google.iq/maps/search/+35.2801,43.677/@35.2801,43.677,14z?hl=en","Maplink2")</f>
        <v>Maplink2</v>
      </c>
      <c r="AY739" s="104" t="str">
        <f>HYPERLINK("http://www.bing.com/maps/?lvl=14&amp;sty=h&amp;cp=35.2801~43.677&amp;sp=point.35.2801_43.677","Maplink3")</f>
        <v>Maplink3</v>
      </c>
    </row>
    <row r="740" spans="1:51" x14ac:dyDescent="0.2">
      <c r="A740" s="102">
        <v>33850</v>
      </c>
      <c r="B740" s="103" t="s">
        <v>34</v>
      </c>
      <c r="C740" s="103" t="s">
        <v>95</v>
      </c>
      <c r="D740" s="103" t="s">
        <v>1709</v>
      </c>
      <c r="E740" s="103" t="s">
        <v>1710</v>
      </c>
      <c r="F740" s="103">
        <v>35.148226000000001</v>
      </c>
      <c r="G740" s="103">
        <v>43.460161999999997</v>
      </c>
      <c r="H740" s="102">
        <v>110</v>
      </c>
      <c r="I740" s="102">
        <v>660</v>
      </c>
      <c r="J740" s="103">
        <v>5</v>
      </c>
      <c r="K740" s="103"/>
      <c r="L740" s="103"/>
      <c r="M740" s="103">
        <v>105</v>
      </c>
      <c r="N740" s="103"/>
      <c r="O740" s="103"/>
      <c r="P740" s="103"/>
      <c r="Q740" s="103"/>
      <c r="R740" s="103"/>
      <c r="S740" s="103"/>
      <c r="T740" s="103"/>
      <c r="U740" s="103"/>
      <c r="V740" s="103"/>
      <c r="W740" s="103"/>
      <c r="X740" s="103"/>
      <c r="Y740" s="103"/>
      <c r="Z740" s="103"/>
      <c r="AA740" s="103"/>
      <c r="AB740" s="103"/>
      <c r="AC740" s="103">
        <v>20</v>
      </c>
      <c r="AD740" s="103"/>
      <c r="AE740" s="103"/>
      <c r="AF740" s="103"/>
      <c r="AG740" s="103"/>
      <c r="AH740" s="103"/>
      <c r="AI740" s="103">
        <v>90</v>
      </c>
      <c r="AJ740" s="103"/>
      <c r="AK740" s="103"/>
      <c r="AL740" s="103"/>
      <c r="AM740" s="103"/>
      <c r="AN740" s="103"/>
      <c r="AO740" s="103"/>
      <c r="AP740" s="103">
        <v>10</v>
      </c>
      <c r="AQ740" s="103">
        <v>15</v>
      </c>
      <c r="AR740" s="103">
        <v>30</v>
      </c>
      <c r="AS740" s="103">
        <v>50</v>
      </c>
      <c r="AT740" s="103">
        <v>5</v>
      </c>
      <c r="AU740" s="103"/>
      <c r="AV740" s="103"/>
      <c r="AW740" s="104" t="str">
        <f>HYPERLINK("http://www.openstreetmap.org/?mlat=35.1482&amp;mlon=43.4602&amp;zoom=12#map=12/35.1482/43.4602","Maplink1")</f>
        <v>Maplink1</v>
      </c>
      <c r="AX740" s="104" t="str">
        <f>HYPERLINK("https://www.google.iq/maps/search/+35.1482,43.4602/@35.1482,43.4602,14z?hl=en","Maplink2")</f>
        <v>Maplink2</v>
      </c>
      <c r="AY740" s="104" t="str">
        <f>HYPERLINK("http://www.bing.com/maps/?lvl=14&amp;sty=h&amp;cp=35.1482~43.4602&amp;sp=point.35.1482_43.4602","Maplink3")</f>
        <v>Maplink3</v>
      </c>
    </row>
    <row r="741" spans="1:51" x14ac:dyDescent="0.2">
      <c r="A741" s="102">
        <v>15594</v>
      </c>
      <c r="B741" s="103" t="s">
        <v>34</v>
      </c>
      <c r="C741" s="103" t="s">
        <v>95</v>
      </c>
      <c r="D741" s="103" t="s">
        <v>1622</v>
      </c>
      <c r="E741" s="103" t="s">
        <v>195</v>
      </c>
      <c r="F741" s="103">
        <v>35.325279999999999</v>
      </c>
      <c r="G741" s="103">
        <v>43.765448979699997</v>
      </c>
      <c r="H741" s="102">
        <v>840</v>
      </c>
      <c r="I741" s="102">
        <v>5040</v>
      </c>
      <c r="J741" s="103"/>
      <c r="K741" s="103"/>
      <c r="L741" s="103"/>
      <c r="M741" s="103">
        <v>810</v>
      </c>
      <c r="N741" s="103">
        <v>30</v>
      </c>
      <c r="O741" s="103"/>
      <c r="P741" s="103"/>
      <c r="Q741" s="103"/>
      <c r="R741" s="103"/>
      <c r="S741" s="103"/>
      <c r="T741" s="103"/>
      <c r="U741" s="103"/>
      <c r="V741" s="103"/>
      <c r="W741" s="103"/>
      <c r="X741" s="103"/>
      <c r="Y741" s="103"/>
      <c r="Z741" s="103"/>
      <c r="AA741" s="103"/>
      <c r="AB741" s="103"/>
      <c r="AC741" s="103">
        <v>720</v>
      </c>
      <c r="AD741" s="103"/>
      <c r="AE741" s="103"/>
      <c r="AF741" s="103"/>
      <c r="AG741" s="103"/>
      <c r="AH741" s="103"/>
      <c r="AI741" s="103">
        <v>120</v>
      </c>
      <c r="AJ741" s="103"/>
      <c r="AK741" s="103"/>
      <c r="AL741" s="103"/>
      <c r="AM741" s="103"/>
      <c r="AN741" s="103">
        <v>40</v>
      </c>
      <c r="AO741" s="103">
        <v>125</v>
      </c>
      <c r="AP741" s="103">
        <v>160</v>
      </c>
      <c r="AQ741" s="103">
        <v>130</v>
      </c>
      <c r="AR741" s="103">
        <v>165</v>
      </c>
      <c r="AS741" s="103">
        <v>120</v>
      </c>
      <c r="AT741" s="103">
        <v>100</v>
      </c>
      <c r="AU741" s="103"/>
      <c r="AV741" s="103"/>
      <c r="AW741" s="104" t="str">
        <f>HYPERLINK("http://www.openstreetmap.org/?mlat=35.3253&amp;mlon=43.7654&amp;zoom=12#map=12/35.3253/43.7654","Maplink1")</f>
        <v>Maplink1</v>
      </c>
      <c r="AX741" s="104" t="str">
        <f>HYPERLINK("https://www.google.iq/maps/search/+35.3253,43.7654/@35.3253,43.7654,14z?hl=en","Maplink2")</f>
        <v>Maplink2</v>
      </c>
      <c r="AY741" s="104" t="str">
        <f>HYPERLINK("http://www.bing.com/maps/?lvl=14&amp;sty=h&amp;cp=35.3253~43.7654&amp;sp=point.35.3253_43.7654","Maplink3")</f>
        <v>Maplink3</v>
      </c>
    </row>
    <row r="742" spans="1:51" x14ac:dyDescent="0.2">
      <c r="A742" s="102">
        <v>14801</v>
      </c>
      <c r="B742" s="103" t="s">
        <v>34</v>
      </c>
      <c r="C742" s="103" t="s">
        <v>95</v>
      </c>
      <c r="D742" s="103" t="s">
        <v>1623</v>
      </c>
      <c r="E742" s="103" t="s">
        <v>1624</v>
      </c>
      <c r="F742" s="103">
        <v>35.367199999999997</v>
      </c>
      <c r="G742" s="103">
        <v>43.751629585000003</v>
      </c>
      <c r="H742" s="102">
        <v>138</v>
      </c>
      <c r="I742" s="102">
        <v>828</v>
      </c>
      <c r="J742" s="103"/>
      <c r="K742" s="103"/>
      <c r="L742" s="103"/>
      <c r="M742" s="103">
        <v>138</v>
      </c>
      <c r="N742" s="103"/>
      <c r="O742" s="103"/>
      <c r="P742" s="103"/>
      <c r="Q742" s="103"/>
      <c r="R742" s="103"/>
      <c r="S742" s="103"/>
      <c r="T742" s="103"/>
      <c r="U742" s="103"/>
      <c r="V742" s="103"/>
      <c r="W742" s="103"/>
      <c r="X742" s="103"/>
      <c r="Y742" s="103"/>
      <c r="Z742" s="103"/>
      <c r="AA742" s="103"/>
      <c r="AB742" s="103"/>
      <c r="AC742" s="103">
        <v>128</v>
      </c>
      <c r="AD742" s="103"/>
      <c r="AE742" s="103"/>
      <c r="AF742" s="103"/>
      <c r="AG742" s="103"/>
      <c r="AH742" s="103"/>
      <c r="AI742" s="103">
        <v>10</v>
      </c>
      <c r="AJ742" s="103"/>
      <c r="AK742" s="103"/>
      <c r="AL742" s="103"/>
      <c r="AM742" s="103"/>
      <c r="AN742" s="103">
        <v>10</v>
      </c>
      <c r="AO742" s="103">
        <v>5</v>
      </c>
      <c r="AP742" s="103">
        <v>25</v>
      </c>
      <c r="AQ742" s="103">
        <v>65</v>
      </c>
      <c r="AR742" s="103">
        <v>3</v>
      </c>
      <c r="AS742" s="103">
        <v>20</v>
      </c>
      <c r="AT742" s="103">
        <v>10</v>
      </c>
      <c r="AU742" s="103"/>
      <c r="AV742" s="103"/>
      <c r="AW742" s="104" t="str">
        <f>HYPERLINK("http://www.openstreetmap.org/?mlat=35.3672&amp;mlon=43.7516&amp;zoom=12#map=12/35.3672/43.7516","Maplink1")</f>
        <v>Maplink1</v>
      </c>
      <c r="AX742" s="104" t="str">
        <f>HYPERLINK("https://www.google.iq/maps/search/+35.3672,43.7516/@35.3672,43.7516,14z?hl=en","Maplink2")</f>
        <v>Maplink2</v>
      </c>
      <c r="AY742" s="104" t="str">
        <f>HYPERLINK("http://www.bing.com/maps/?lvl=14&amp;sty=h&amp;cp=35.3672~43.7516&amp;sp=point.35.3672_43.7516","Maplink3")</f>
        <v>Maplink3</v>
      </c>
    </row>
    <row r="743" spans="1:51" x14ac:dyDescent="0.2">
      <c r="A743" s="102">
        <v>14975</v>
      </c>
      <c r="B743" s="103" t="s">
        <v>34</v>
      </c>
      <c r="C743" s="103" t="s">
        <v>95</v>
      </c>
      <c r="D743" s="103" t="s">
        <v>1625</v>
      </c>
      <c r="E743" s="103" t="s">
        <v>1626</v>
      </c>
      <c r="F743" s="103">
        <v>35.344200000000001</v>
      </c>
      <c r="G743" s="103">
        <v>43.6152044026</v>
      </c>
      <c r="H743" s="102">
        <v>205</v>
      </c>
      <c r="I743" s="102">
        <v>1230</v>
      </c>
      <c r="J743" s="103"/>
      <c r="K743" s="103"/>
      <c r="L743" s="103"/>
      <c r="M743" s="103">
        <v>205</v>
      </c>
      <c r="N743" s="103"/>
      <c r="O743" s="103"/>
      <c r="P743" s="103"/>
      <c r="Q743" s="103"/>
      <c r="R743" s="103"/>
      <c r="S743" s="103"/>
      <c r="T743" s="103"/>
      <c r="U743" s="103"/>
      <c r="V743" s="103"/>
      <c r="W743" s="103"/>
      <c r="X743" s="103"/>
      <c r="Y743" s="103"/>
      <c r="Z743" s="103"/>
      <c r="AA743" s="103"/>
      <c r="AB743" s="103"/>
      <c r="AC743" s="103">
        <v>175</v>
      </c>
      <c r="AD743" s="103"/>
      <c r="AE743" s="103"/>
      <c r="AF743" s="103"/>
      <c r="AG743" s="103"/>
      <c r="AH743" s="103"/>
      <c r="AI743" s="103">
        <v>30</v>
      </c>
      <c r="AJ743" s="103"/>
      <c r="AK743" s="103"/>
      <c r="AL743" s="103"/>
      <c r="AM743" s="103"/>
      <c r="AN743" s="103">
        <v>5</v>
      </c>
      <c r="AO743" s="103">
        <v>10</v>
      </c>
      <c r="AP743" s="103">
        <v>20</v>
      </c>
      <c r="AQ743" s="103">
        <v>20</v>
      </c>
      <c r="AR743" s="103">
        <v>50</v>
      </c>
      <c r="AS743" s="103">
        <v>60</v>
      </c>
      <c r="AT743" s="103">
        <v>40</v>
      </c>
      <c r="AU743" s="103"/>
      <c r="AV743" s="103"/>
      <c r="AW743" s="104" t="str">
        <f>HYPERLINK("http://www.openstreetmap.org/?mlat=35.3442&amp;mlon=43.6152&amp;zoom=12#map=12/35.3442/43.6152","Maplink1")</f>
        <v>Maplink1</v>
      </c>
      <c r="AX743" s="104" t="str">
        <f>HYPERLINK("https://www.google.iq/maps/search/+35.3442,43.6152/@35.3442,43.6152,14z?hl=en","Maplink2")</f>
        <v>Maplink2</v>
      </c>
      <c r="AY743" s="104" t="str">
        <f>HYPERLINK("http://www.bing.com/maps/?lvl=14&amp;sty=h&amp;cp=35.3442~43.6152&amp;sp=point.35.3442_43.6152","Maplink3")</f>
        <v>Maplink3</v>
      </c>
    </row>
    <row r="744" spans="1:51" x14ac:dyDescent="0.2">
      <c r="A744" s="102">
        <v>15215</v>
      </c>
      <c r="B744" s="103" t="s">
        <v>34</v>
      </c>
      <c r="C744" s="103" t="s">
        <v>95</v>
      </c>
      <c r="D744" s="103" t="s">
        <v>1627</v>
      </c>
      <c r="E744" s="103" t="s">
        <v>1628</v>
      </c>
      <c r="F744" s="103">
        <v>35.277700000000003</v>
      </c>
      <c r="G744" s="103">
        <v>43.619563793899999</v>
      </c>
      <c r="H744" s="102">
        <v>128</v>
      </c>
      <c r="I744" s="102">
        <v>768</v>
      </c>
      <c r="J744" s="103"/>
      <c r="K744" s="103"/>
      <c r="L744" s="103"/>
      <c r="M744" s="103">
        <v>128</v>
      </c>
      <c r="N744" s="103"/>
      <c r="O744" s="103"/>
      <c r="P744" s="103"/>
      <c r="Q744" s="103"/>
      <c r="R744" s="103"/>
      <c r="S744" s="103"/>
      <c r="T744" s="103"/>
      <c r="U744" s="103"/>
      <c r="V744" s="103"/>
      <c r="W744" s="103"/>
      <c r="X744" s="103"/>
      <c r="Y744" s="103"/>
      <c r="Z744" s="103"/>
      <c r="AA744" s="103"/>
      <c r="AB744" s="103"/>
      <c r="AC744" s="103">
        <v>93</v>
      </c>
      <c r="AD744" s="103"/>
      <c r="AE744" s="103"/>
      <c r="AF744" s="103"/>
      <c r="AG744" s="103"/>
      <c r="AH744" s="103"/>
      <c r="AI744" s="103">
        <v>35</v>
      </c>
      <c r="AJ744" s="103"/>
      <c r="AK744" s="103"/>
      <c r="AL744" s="103"/>
      <c r="AM744" s="103"/>
      <c r="AN744" s="103"/>
      <c r="AO744" s="103">
        <v>10</v>
      </c>
      <c r="AP744" s="103">
        <v>25</v>
      </c>
      <c r="AQ744" s="103">
        <v>5</v>
      </c>
      <c r="AR744" s="103">
        <v>43</v>
      </c>
      <c r="AS744" s="103">
        <v>30</v>
      </c>
      <c r="AT744" s="103">
        <v>15</v>
      </c>
      <c r="AU744" s="103"/>
      <c r="AV744" s="103"/>
      <c r="AW744" s="104" t="str">
        <f>HYPERLINK("http://www.openstreetmap.org/?mlat=35.2777&amp;mlon=43.6196&amp;zoom=12#map=12/35.2777/43.6196","Maplink1")</f>
        <v>Maplink1</v>
      </c>
      <c r="AX744" s="104" t="str">
        <f>HYPERLINK("https://www.google.iq/maps/search/+35.2777,43.6196/@35.2777,43.6196,14z?hl=en","Maplink2")</f>
        <v>Maplink2</v>
      </c>
      <c r="AY744" s="104" t="str">
        <f>HYPERLINK("http://www.bing.com/maps/?lvl=14&amp;sty=h&amp;cp=35.2777~43.6196&amp;sp=point.35.2777_43.6196","Maplink3")</f>
        <v>Maplink3</v>
      </c>
    </row>
    <row r="745" spans="1:51" x14ac:dyDescent="0.2">
      <c r="A745" s="102">
        <v>33687</v>
      </c>
      <c r="B745" s="103" t="s">
        <v>34</v>
      </c>
      <c r="C745" s="103" t="s">
        <v>95</v>
      </c>
      <c r="D745" s="103" t="s">
        <v>1629</v>
      </c>
      <c r="E745" s="103" t="s">
        <v>1630</v>
      </c>
      <c r="F745" s="103">
        <v>35.268659999999997</v>
      </c>
      <c r="G745" s="103">
        <v>43.805127746799997</v>
      </c>
      <c r="H745" s="102">
        <v>10</v>
      </c>
      <c r="I745" s="102">
        <v>60</v>
      </c>
      <c r="J745" s="103"/>
      <c r="K745" s="103"/>
      <c r="L745" s="103"/>
      <c r="M745" s="103">
        <v>10</v>
      </c>
      <c r="N745" s="103"/>
      <c r="O745" s="103"/>
      <c r="P745" s="103"/>
      <c r="Q745" s="103"/>
      <c r="R745" s="103"/>
      <c r="S745" s="103"/>
      <c r="T745" s="103"/>
      <c r="U745" s="103"/>
      <c r="V745" s="103"/>
      <c r="W745" s="103"/>
      <c r="X745" s="103"/>
      <c r="Y745" s="103"/>
      <c r="Z745" s="103"/>
      <c r="AA745" s="103"/>
      <c r="AB745" s="103"/>
      <c r="AC745" s="103">
        <v>10</v>
      </c>
      <c r="AD745" s="103"/>
      <c r="AE745" s="103"/>
      <c r="AF745" s="103"/>
      <c r="AG745" s="103"/>
      <c r="AH745" s="103"/>
      <c r="AI745" s="103"/>
      <c r="AJ745" s="103"/>
      <c r="AK745" s="103"/>
      <c r="AL745" s="103"/>
      <c r="AM745" s="103"/>
      <c r="AN745" s="103"/>
      <c r="AO745" s="103">
        <v>2</v>
      </c>
      <c r="AP745" s="103">
        <v>2</v>
      </c>
      <c r="AQ745" s="103">
        <v>4</v>
      </c>
      <c r="AR745" s="103">
        <v>2</v>
      </c>
      <c r="AS745" s="103"/>
      <c r="AT745" s="103"/>
      <c r="AU745" s="103"/>
      <c r="AV745" s="103"/>
      <c r="AW745" s="104" t="str">
        <f>HYPERLINK("http://www.openstreetmap.org/?mlat=35.2687&amp;mlon=43.8051&amp;zoom=12#map=12/35.2687/43.8051","Maplink1")</f>
        <v>Maplink1</v>
      </c>
      <c r="AX745" s="104" t="str">
        <f>HYPERLINK("https://www.google.iq/maps/search/+35.2687,43.8051/@35.2687,43.8051,14z?hl=en","Maplink2")</f>
        <v>Maplink2</v>
      </c>
      <c r="AY745" s="104" t="str">
        <f>HYPERLINK("http://www.bing.com/maps/?lvl=14&amp;sty=h&amp;cp=35.2687~43.8051&amp;sp=point.35.2687_43.8051","Maplink3")</f>
        <v>Maplink3</v>
      </c>
    </row>
    <row r="746" spans="1:51" x14ac:dyDescent="0.2">
      <c r="A746" s="102">
        <v>33688</v>
      </c>
      <c r="B746" s="103" t="s">
        <v>34</v>
      </c>
      <c r="C746" s="103" t="s">
        <v>95</v>
      </c>
      <c r="D746" s="103" t="s">
        <v>1631</v>
      </c>
      <c r="E746" s="103" t="s">
        <v>1632</v>
      </c>
      <c r="F746" s="103">
        <v>35.382399999999997</v>
      </c>
      <c r="G746" s="103">
        <v>44.0073377326</v>
      </c>
      <c r="H746" s="102">
        <v>105</v>
      </c>
      <c r="I746" s="102">
        <v>630</v>
      </c>
      <c r="J746" s="103"/>
      <c r="K746" s="103"/>
      <c r="L746" s="103"/>
      <c r="M746" s="103">
        <v>105</v>
      </c>
      <c r="N746" s="103"/>
      <c r="O746" s="103"/>
      <c r="P746" s="103"/>
      <c r="Q746" s="103"/>
      <c r="R746" s="103"/>
      <c r="S746" s="103"/>
      <c r="T746" s="103"/>
      <c r="U746" s="103"/>
      <c r="V746" s="103"/>
      <c r="W746" s="103"/>
      <c r="X746" s="103"/>
      <c r="Y746" s="103"/>
      <c r="Z746" s="103"/>
      <c r="AA746" s="103"/>
      <c r="AB746" s="103"/>
      <c r="AC746" s="103">
        <v>105</v>
      </c>
      <c r="AD746" s="103"/>
      <c r="AE746" s="103"/>
      <c r="AF746" s="103"/>
      <c r="AG746" s="103"/>
      <c r="AH746" s="103"/>
      <c r="AI746" s="103"/>
      <c r="AJ746" s="103"/>
      <c r="AK746" s="103"/>
      <c r="AL746" s="103"/>
      <c r="AM746" s="103"/>
      <c r="AN746" s="103">
        <v>5</v>
      </c>
      <c r="AO746" s="103">
        <v>20</v>
      </c>
      <c r="AP746" s="103">
        <v>20</v>
      </c>
      <c r="AQ746" s="103">
        <v>20</v>
      </c>
      <c r="AR746" s="103">
        <v>30</v>
      </c>
      <c r="AS746" s="103">
        <v>10</v>
      </c>
      <c r="AT746" s="103"/>
      <c r="AU746" s="103"/>
      <c r="AV746" s="103"/>
      <c r="AW746" s="104" t="str">
        <f>HYPERLINK("http://www.openstreetmap.org/?mlat=35.3824&amp;mlon=44.0073&amp;zoom=12#map=12/35.3824/44.0073","Maplink1")</f>
        <v>Maplink1</v>
      </c>
      <c r="AX746" s="104" t="str">
        <f>HYPERLINK("https://www.google.iq/maps/search/+35.3824,44.0073/@35.3824,44.0073,14z?hl=en","Maplink2")</f>
        <v>Maplink2</v>
      </c>
      <c r="AY746" s="104" t="str">
        <f>HYPERLINK("http://www.bing.com/maps/?lvl=14&amp;sty=h&amp;cp=35.3824~44.0073&amp;sp=point.35.3824_44.0073","Maplink3")</f>
        <v>Maplink3</v>
      </c>
    </row>
    <row r="747" spans="1:51" x14ac:dyDescent="0.2">
      <c r="A747" s="102">
        <v>33692</v>
      </c>
      <c r="B747" s="103" t="s">
        <v>34</v>
      </c>
      <c r="C747" s="103" t="s">
        <v>95</v>
      </c>
      <c r="D747" s="103" t="s">
        <v>1633</v>
      </c>
      <c r="E747" s="103" t="s">
        <v>1634</v>
      </c>
      <c r="F747" s="103">
        <v>35.325920000000004</v>
      </c>
      <c r="G747" s="103">
        <v>44.024538531899999</v>
      </c>
      <c r="H747" s="102">
        <v>8</v>
      </c>
      <c r="I747" s="102">
        <v>48</v>
      </c>
      <c r="J747" s="103"/>
      <c r="K747" s="103"/>
      <c r="L747" s="103"/>
      <c r="M747" s="103">
        <v>8</v>
      </c>
      <c r="N747" s="103"/>
      <c r="O747" s="103"/>
      <c r="P747" s="103"/>
      <c r="Q747" s="103"/>
      <c r="R747" s="103"/>
      <c r="S747" s="103"/>
      <c r="T747" s="103"/>
      <c r="U747" s="103"/>
      <c r="V747" s="103"/>
      <c r="W747" s="103"/>
      <c r="X747" s="103"/>
      <c r="Y747" s="103"/>
      <c r="Z747" s="103"/>
      <c r="AA747" s="103"/>
      <c r="AB747" s="103"/>
      <c r="AC747" s="103">
        <v>8</v>
      </c>
      <c r="AD747" s="103"/>
      <c r="AE747" s="103"/>
      <c r="AF747" s="103"/>
      <c r="AG747" s="103"/>
      <c r="AH747" s="103"/>
      <c r="AI747" s="103"/>
      <c r="AJ747" s="103"/>
      <c r="AK747" s="103"/>
      <c r="AL747" s="103"/>
      <c r="AM747" s="103"/>
      <c r="AN747" s="103"/>
      <c r="AO747" s="103"/>
      <c r="AP747" s="103"/>
      <c r="AQ747" s="103">
        <v>4</v>
      </c>
      <c r="AR747" s="103">
        <v>4</v>
      </c>
      <c r="AS747" s="103"/>
      <c r="AT747" s="103"/>
      <c r="AU747" s="103"/>
      <c r="AV747" s="103"/>
      <c r="AW747" s="104" t="str">
        <f>HYPERLINK("http://www.openstreetmap.org/?mlat=35.3259&amp;mlon=44.0245&amp;zoom=12#map=12/35.3259/44.0245","Maplink1")</f>
        <v>Maplink1</v>
      </c>
      <c r="AX747" s="104" t="str">
        <f>HYPERLINK("https://www.google.iq/maps/search/+35.3259,44.0245/@35.3259,44.0245,14z?hl=en","Maplink2")</f>
        <v>Maplink2</v>
      </c>
      <c r="AY747" s="104" t="str">
        <f>HYPERLINK("http://www.bing.com/maps/?lvl=14&amp;sty=h&amp;cp=35.3259~44.0245&amp;sp=point.35.3259_44.0245","Maplink3")</f>
        <v>Maplink3</v>
      </c>
    </row>
    <row r="748" spans="1:51" x14ac:dyDescent="0.2">
      <c r="A748" s="102">
        <v>15296</v>
      </c>
      <c r="B748" s="103" t="s">
        <v>34</v>
      </c>
      <c r="C748" s="103" t="s">
        <v>95</v>
      </c>
      <c r="D748" s="103" t="s">
        <v>1608</v>
      </c>
      <c r="E748" s="103" t="s">
        <v>1609</v>
      </c>
      <c r="F748" s="103">
        <v>35.34366</v>
      </c>
      <c r="G748" s="103">
        <v>43.688139530500003</v>
      </c>
      <c r="H748" s="102">
        <v>60</v>
      </c>
      <c r="I748" s="102">
        <v>360</v>
      </c>
      <c r="J748" s="103"/>
      <c r="K748" s="103"/>
      <c r="L748" s="103"/>
      <c r="M748" s="103">
        <v>60</v>
      </c>
      <c r="N748" s="103"/>
      <c r="O748" s="103"/>
      <c r="P748" s="103"/>
      <c r="Q748" s="103"/>
      <c r="R748" s="103"/>
      <c r="S748" s="103"/>
      <c r="T748" s="103"/>
      <c r="U748" s="103"/>
      <c r="V748" s="103"/>
      <c r="W748" s="103"/>
      <c r="X748" s="103"/>
      <c r="Y748" s="103"/>
      <c r="Z748" s="103"/>
      <c r="AA748" s="103"/>
      <c r="AB748" s="103"/>
      <c r="AC748" s="103">
        <v>57</v>
      </c>
      <c r="AD748" s="103"/>
      <c r="AE748" s="103"/>
      <c r="AF748" s="103"/>
      <c r="AG748" s="103"/>
      <c r="AH748" s="103"/>
      <c r="AI748" s="103">
        <v>3</v>
      </c>
      <c r="AJ748" s="103"/>
      <c r="AK748" s="103"/>
      <c r="AL748" s="103"/>
      <c r="AM748" s="103"/>
      <c r="AN748" s="103"/>
      <c r="AO748" s="103"/>
      <c r="AP748" s="103"/>
      <c r="AQ748" s="103">
        <v>8</v>
      </c>
      <c r="AR748" s="103">
        <v>30</v>
      </c>
      <c r="AS748" s="103">
        <v>12</v>
      </c>
      <c r="AT748" s="103">
        <v>10</v>
      </c>
      <c r="AU748" s="103"/>
      <c r="AV748" s="103"/>
      <c r="AW748" s="104" t="str">
        <f>HYPERLINK("http://www.openstreetmap.org/?mlat=35.3437&amp;mlon=43.6881&amp;zoom=12#map=12/35.3437/43.6881","Maplink1")</f>
        <v>Maplink1</v>
      </c>
      <c r="AX748" s="104" t="str">
        <f>HYPERLINK("https://www.google.iq/maps/search/+35.3437,43.6881/@35.3437,43.6881,14z?hl=en","Maplink2")</f>
        <v>Maplink2</v>
      </c>
      <c r="AY748" s="104" t="str">
        <f>HYPERLINK("http://www.bing.com/maps/?lvl=14&amp;sty=h&amp;cp=35.3437~43.6881&amp;sp=point.35.3437_43.6881","Maplink3")</f>
        <v>Maplink3</v>
      </c>
    </row>
    <row r="749" spans="1:51" x14ac:dyDescent="0.2">
      <c r="A749" s="102">
        <v>33228</v>
      </c>
      <c r="B749" s="103" t="s">
        <v>34</v>
      </c>
      <c r="C749" s="103" t="s">
        <v>95</v>
      </c>
      <c r="D749" s="103" t="s">
        <v>1610</v>
      </c>
      <c r="E749" s="103" t="s">
        <v>1611</v>
      </c>
      <c r="F749" s="103">
        <v>35.324800000000003</v>
      </c>
      <c r="G749" s="103">
        <v>43.628865047700003</v>
      </c>
      <c r="H749" s="102">
        <v>775</v>
      </c>
      <c r="I749" s="102">
        <v>4650</v>
      </c>
      <c r="J749" s="103"/>
      <c r="K749" s="103"/>
      <c r="L749" s="103"/>
      <c r="M749" s="103">
        <v>775</v>
      </c>
      <c r="N749" s="103"/>
      <c r="O749" s="103"/>
      <c r="P749" s="103"/>
      <c r="Q749" s="103"/>
      <c r="R749" s="103"/>
      <c r="S749" s="103"/>
      <c r="T749" s="103"/>
      <c r="U749" s="103"/>
      <c r="V749" s="103"/>
      <c r="W749" s="103"/>
      <c r="X749" s="103"/>
      <c r="Y749" s="103"/>
      <c r="Z749" s="103"/>
      <c r="AA749" s="103"/>
      <c r="AB749" s="103"/>
      <c r="AC749" s="103">
        <v>425</v>
      </c>
      <c r="AD749" s="103"/>
      <c r="AE749" s="103"/>
      <c r="AF749" s="103"/>
      <c r="AG749" s="103"/>
      <c r="AH749" s="103"/>
      <c r="AI749" s="103">
        <v>350</v>
      </c>
      <c r="AJ749" s="103"/>
      <c r="AK749" s="103"/>
      <c r="AL749" s="103"/>
      <c r="AM749" s="103"/>
      <c r="AN749" s="103">
        <v>41</v>
      </c>
      <c r="AO749" s="103">
        <v>45</v>
      </c>
      <c r="AP749" s="103">
        <v>84</v>
      </c>
      <c r="AQ749" s="103">
        <v>110</v>
      </c>
      <c r="AR749" s="103">
        <v>145</v>
      </c>
      <c r="AS749" s="103">
        <v>225</v>
      </c>
      <c r="AT749" s="103">
        <v>125</v>
      </c>
      <c r="AU749" s="103"/>
      <c r="AV749" s="103"/>
      <c r="AW749" s="104" t="str">
        <f>HYPERLINK("http://www.openstreetmap.org/?mlat=35.3248&amp;mlon=43.6289&amp;zoom=12#map=12/35.3248/43.6289","Maplink1")</f>
        <v>Maplink1</v>
      </c>
      <c r="AX749" s="104" t="str">
        <f>HYPERLINK("https://www.google.iq/maps/search/+35.3248,43.6289/@35.3248,43.6289,14z?hl=en","Maplink2")</f>
        <v>Maplink2</v>
      </c>
      <c r="AY749" s="104" t="str">
        <f>HYPERLINK("http://www.bing.com/maps/?lvl=14&amp;sty=h&amp;cp=35.3248~43.6289&amp;sp=point.35.3248_43.6289","Maplink3")</f>
        <v>Maplink3</v>
      </c>
    </row>
    <row r="750" spans="1:51" x14ac:dyDescent="0.2">
      <c r="A750" s="102">
        <v>33288</v>
      </c>
      <c r="B750" s="103" t="s">
        <v>34</v>
      </c>
      <c r="C750" s="103" t="s">
        <v>95</v>
      </c>
      <c r="D750" s="103" t="s">
        <v>1612</v>
      </c>
      <c r="E750" s="103" t="s">
        <v>1613</v>
      </c>
      <c r="F750" s="103">
        <v>35.238799999999998</v>
      </c>
      <c r="G750" s="103">
        <v>43.504408510700003</v>
      </c>
      <c r="H750" s="102">
        <v>34</v>
      </c>
      <c r="I750" s="102">
        <v>204</v>
      </c>
      <c r="J750" s="103"/>
      <c r="K750" s="103"/>
      <c r="L750" s="103"/>
      <c r="M750" s="103">
        <v>34</v>
      </c>
      <c r="N750" s="103"/>
      <c r="O750" s="103"/>
      <c r="P750" s="103"/>
      <c r="Q750" s="103"/>
      <c r="R750" s="103"/>
      <c r="S750" s="103"/>
      <c r="T750" s="103"/>
      <c r="U750" s="103"/>
      <c r="V750" s="103"/>
      <c r="W750" s="103"/>
      <c r="X750" s="103"/>
      <c r="Y750" s="103"/>
      <c r="Z750" s="103"/>
      <c r="AA750" s="103"/>
      <c r="AB750" s="103"/>
      <c r="AC750" s="103"/>
      <c r="AD750" s="103"/>
      <c r="AE750" s="103"/>
      <c r="AF750" s="103"/>
      <c r="AG750" s="103"/>
      <c r="AH750" s="103"/>
      <c r="AI750" s="103">
        <v>34</v>
      </c>
      <c r="AJ750" s="103"/>
      <c r="AK750" s="103"/>
      <c r="AL750" s="103"/>
      <c r="AM750" s="103"/>
      <c r="AN750" s="103"/>
      <c r="AO750" s="103"/>
      <c r="AP750" s="103"/>
      <c r="AQ750" s="103">
        <v>2</v>
      </c>
      <c r="AR750" s="103">
        <v>10</v>
      </c>
      <c r="AS750" s="103">
        <v>22</v>
      </c>
      <c r="AT750" s="103"/>
      <c r="AU750" s="103"/>
      <c r="AV750" s="103"/>
      <c r="AW750" s="104" t="str">
        <f>HYPERLINK("http://www.openstreetmap.org/?mlat=35.2388&amp;mlon=43.5044&amp;zoom=12#map=12/35.2388/43.5044","Maplink1")</f>
        <v>Maplink1</v>
      </c>
      <c r="AX750" s="104" t="str">
        <f>HYPERLINK("https://www.google.iq/maps/search/+35.2388,43.5044/@35.2388,43.5044,14z?hl=en","Maplink2")</f>
        <v>Maplink2</v>
      </c>
      <c r="AY750" s="104" t="str">
        <f>HYPERLINK("http://www.bing.com/maps/?lvl=14&amp;sty=h&amp;cp=35.2388~43.5044&amp;sp=point.35.2388_43.5044","Maplink3")</f>
        <v>Maplink3</v>
      </c>
    </row>
    <row r="751" spans="1:51" x14ac:dyDescent="0.2">
      <c r="A751" s="102">
        <v>33453</v>
      </c>
      <c r="B751" s="103" t="s">
        <v>34</v>
      </c>
      <c r="C751" s="103" t="s">
        <v>95</v>
      </c>
      <c r="D751" s="103" t="s">
        <v>1614</v>
      </c>
      <c r="E751" s="103" t="s">
        <v>1615</v>
      </c>
      <c r="F751" s="103">
        <v>35.395820000000001</v>
      </c>
      <c r="G751" s="103">
        <v>43.755304558399999</v>
      </c>
      <c r="H751" s="102">
        <v>30</v>
      </c>
      <c r="I751" s="102">
        <v>180</v>
      </c>
      <c r="J751" s="103"/>
      <c r="K751" s="103"/>
      <c r="L751" s="103"/>
      <c r="M751" s="103">
        <v>30</v>
      </c>
      <c r="N751" s="103"/>
      <c r="O751" s="103"/>
      <c r="P751" s="103"/>
      <c r="Q751" s="103"/>
      <c r="R751" s="103"/>
      <c r="S751" s="103"/>
      <c r="T751" s="103"/>
      <c r="U751" s="103"/>
      <c r="V751" s="103"/>
      <c r="W751" s="103"/>
      <c r="X751" s="103"/>
      <c r="Y751" s="103"/>
      <c r="Z751" s="103"/>
      <c r="AA751" s="103"/>
      <c r="AB751" s="103"/>
      <c r="AC751" s="103">
        <v>20</v>
      </c>
      <c r="AD751" s="103"/>
      <c r="AE751" s="103"/>
      <c r="AF751" s="103"/>
      <c r="AG751" s="103">
        <v>2</v>
      </c>
      <c r="AH751" s="103"/>
      <c r="AI751" s="103">
        <v>8</v>
      </c>
      <c r="AJ751" s="103"/>
      <c r="AK751" s="103"/>
      <c r="AL751" s="103"/>
      <c r="AM751" s="103"/>
      <c r="AN751" s="103"/>
      <c r="AO751" s="103"/>
      <c r="AP751" s="103">
        <v>5</v>
      </c>
      <c r="AQ751" s="103">
        <v>5</v>
      </c>
      <c r="AR751" s="103">
        <v>15</v>
      </c>
      <c r="AS751" s="103">
        <v>5</v>
      </c>
      <c r="AT751" s="103"/>
      <c r="AU751" s="103"/>
      <c r="AV751" s="103"/>
      <c r="AW751" s="104" t="str">
        <f>HYPERLINK("http://www.openstreetmap.org/?mlat=35.3958&amp;mlon=43.7553&amp;zoom=12#map=12/35.3958/43.7553","Maplink1")</f>
        <v>Maplink1</v>
      </c>
      <c r="AX751" s="104" t="str">
        <f>HYPERLINK("https://www.google.iq/maps/search/+35.3958,43.7553/@35.3958,43.7553,14z?hl=en","Maplink2")</f>
        <v>Maplink2</v>
      </c>
      <c r="AY751" s="104" t="str">
        <f>HYPERLINK("http://www.bing.com/maps/?lvl=14&amp;sty=h&amp;cp=35.3958~43.7553&amp;sp=point.35.3958_43.7553","Maplink3")</f>
        <v>Maplink3</v>
      </c>
    </row>
    <row r="752" spans="1:51" x14ac:dyDescent="0.2">
      <c r="A752" s="102">
        <v>33693</v>
      </c>
      <c r="B752" s="103" t="s">
        <v>34</v>
      </c>
      <c r="C752" s="103" t="s">
        <v>95</v>
      </c>
      <c r="D752" s="103" t="s">
        <v>1616</v>
      </c>
      <c r="E752" s="103" t="s">
        <v>1617</v>
      </c>
      <c r="F752" s="103">
        <v>35.330930000000002</v>
      </c>
      <c r="G752" s="103">
        <v>44.032322089600001</v>
      </c>
      <c r="H752" s="102">
        <v>9</v>
      </c>
      <c r="I752" s="102">
        <v>54</v>
      </c>
      <c r="J752" s="103"/>
      <c r="K752" s="103"/>
      <c r="L752" s="103"/>
      <c r="M752" s="103">
        <v>9</v>
      </c>
      <c r="N752" s="103"/>
      <c r="O752" s="103"/>
      <c r="P752" s="103"/>
      <c r="Q752" s="103"/>
      <c r="R752" s="103"/>
      <c r="S752" s="103"/>
      <c r="T752" s="103"/>
      <c r="U752" s="103"/>
      <c r="V752" s="103"/>
      <c r="W752" s="103"/>
      <c r="X752" s="103"/>
      <c r="Y752" s="103"/>
      <c r="Z752" s="103"/>
      <c r="AA752" s="103"/>
      <c r="AB752" s="103"/>
      <c r="AC752" s="103">
        <v>9</v>
      </c>
      <c r="AD752" s="103"/>
      <c r="AE752" s="103"/>
      <c r="AF752" s="103"/>
      <c r="AG752" s="103"/>
      <c r="AH752" s="103"/>
      <c r="AI752" s="103"/>
      <c r="AJ752" s="103"/>
      <c r="AK752" s="103"/>
      <c r="AL752" s="103"/>
      <c r="AM752" s="103"/>
      <c r="AN752" s="103"/>
      <c r="AO752" s="103"/>
      <c r="AP752" s="103"/>
      <c r="AQ752" s="103">
        <v>3</v>
      </c>
      <c r="AR752" s="103">
        <v>6</v>
      </c>
      <c r="AS752" s="103"/>
      <c r="AT752" s="103"/>
      <c r="AU752" s="103"/>
      <c r="AV752" s="103"/>
      <c r="AW752" s="104" t="str">
        <f>HYPERLINK("http://www.openstreetmap.org/?mlat=35.3309&amp;mlon=44.0323&amp;zoom=12#map=12/35.3309/44.0323","Maplink1")</f>
        <v>Maplink1</v>
      </c>
      <c r="AX752" s="104" t="str">
        <f>HYPERLINK("https://www.google.iq/maps/search/+35.3309,44.0323/@35.3309,44.0323,14z?hl=en","Maplink2")</f>
        <v>Maplink2</v>
      </c>
      <c r="AY752" s="104" t="str">
        <f>HYPERLINK("http://www.bing.com/maps/?lvl=14&amp;sty=h&amp;cp=35.3309~44.0323&amp;sp=point.35.3309_44.0323","Maplink3")</f>
        <v>Maplink3</v>
      </c>
    </row>
    <row r="753" spans="1:51" x14ac:dyDescent="0.2">
      <c r="A753" s="102">
        <v>24085</v>
      </c>
      <c r="B753" s="103" t="s">
        <v>34</v>
      </c>
      <c r="C753" s="103" t="s">
        <v>95</v>
      </c>
      <c r="D753" s="103" t="s">
        <v>1800</v>
      </c>
      <c r="E753" s="103" t="s">
        <v>1801</v>
      </c>
      <c r="F753" s="103">
        <v>35.325724000000001</v>
      </c>
      <c r="G753" s="103">
        <v>43.773580880700003</v>
      </c>
      <c r="H753" s="102">
        <v>200</v>
      </c>
      <c r="I753" s="102">
        <v>1200</v>
      </c>
      <c r="J753" s="103"/>
      <c r="K753" s="103"/>
      <c r="L753" s="103"/>
      <c r="M753" s="103">
        <v>170</v>
      </c>
      <c r="N753" s="103">
        <v>30</v>
      </c>
      <c r="O753" s="103"/>
      <c r="P753" s="103"/>
      <c r="Q753" s="103"/>
      <c r="R753" s="103"/>
      <c r="S753" s="103"/>
      <c r="T753" s="103"/>
      <c r="U753" s="103"/>
      <c r="V753" s="103"/>
      <c r="W753" s="103"/>
      <c r="X753" s="103"/>
      <c r="Y753" s="103"/>
      <c r="Z753" s="103"/>
      <c r="AA753" s="103"/>
      <c r="AB753" s="103"/>
      <c r="AC753" s="103">
        <v>200</v>
      </c>
      <c r="AD753" s="103"/>
      <c r="AE753" s="103"/>
      <c r="AF753" s="103"/>
      <c r="AG753" s="103"/>
      <c r="AH753" s="103"/>
      <c r="AI753" s="103"/>
      <c r="AJ753" s="103"/>
      <c r="AK753" s="103"/>
      <c r="AL753" s="103"/>
      <c r="AM753" s="103"/>
      <c r="AN753" s="103"/>
      <c r="AO753" s="103"/>
      <c r="AP753" s="103">
        <v>20</v>
      </c>
      <c r="AQ753" s="103">
        <v>50</v>
      </c>
      <c r="AR753" s="103">
        <v>50</v>
      </c>
      <c r="AS753" s="103">
        <v>45</v>
      </c>
      <c r="AT753" s="103">
        <v>35</v>
      </c>
      <c r="AU753" s="103"/>
      <c r="AV753" s="103"/>
      <c r="AW753" s="104" t="str">
        <f>HYPERLINK("http://www.openstreetmap.org/?mlat=35.3257&amp;mlon=43.7736&amp;zoom=12#map=12/35.3257/43.7736","Maplink1")</f>
        <v>Maplink1</v>
      </c>
      <c r="AX753" s="104" t="str">
        <f>HYPERLINK("https://www.google.iq/maps/search/+35.3257,43.7736/@35.3257,43.7736,14z?hl=en","Maplink2")</f>
        <v>Maplink2</v>
      </c>
      <c r="AY753" s="104" t="str">
        <f>HYPERLINK("http://www.bing.com/maps/?lvl=14&amp;sty=h&amp;cp=35.3257~43.7736&amp;sp=point.35.3257_43.7736","Maplink3")</f>
        <v>Maplink3</v>
      </c>
    </row>
    <row r="754" spans="1:51" x14ac:dyDescent="0.2">
      <c r="A754" s="102">
        <v>33306</v>
      </c>
      <c r="B754" s="103" t="s">
        <v>34</v>
      </c>
      <c r="C754" s="103" t="s">
        <v>95</v>
      </c>
      <c r="D754" s="103" t="s">
        <v>1802</v>
      </c>
      <c r="E754" s="103" t="s">
        <v>1803</v>
      </c>
      <c r="F754" s="103">
        <v>35.231490000000001</v>
      </c>
      <c r="G754" s="103">
        <v>43.468916804899997</v>
      </c>
      <c r="H754" s="102">
        <v>252</v>
      </c>
      <c r="I754" s="102">
        <v>1512</v>
      </c>
      <c r="J754" s="103"/>
      <c r="K754" s="103"/>
      <c r="L754" s="103"/>
      <c r="M754" s="103">
        <v>252</v>
      </c>
      <c r="N754" s="103"/>
      <c r="O754" s="103"/>
      <c r="P754" s="103"/>
      <c r="Q754" s="103"/>
      <c r="R754" s="103"/>
      <c r="S754" s="103"/>
      <c r="T754" s="103"/>
      <c r="U754" s="103"/>
      <c r="V754" s="103"/>
      <c r="W754" s="103"/>
      <c r="X754" s="103"/>
      <c r="Y754" s="103"/>
      <c r="Z754" s="103"/>
      <c r="AA754" s="103"/>
      <c r="AB754" s="103"/>
      <c r="AC754" s="103">
        <v>163</v>
      </c>
      <c r="AD754" s="103"/>
      <c r="AE754" s="103"/>
      <c r="AF754" s="103"/>
      <c r="AG754" s="103"/>
      <c r="AH754" s="103"/>
      <c r="AI754" s="103">
        <v>89</v>
      </c>
      <c r="AJ754" s="103"/>
      <c r="AK754" s="103"/>
      <c r="AL754" s="103"/>
      <c r="AM754" s="103"/>
      <c r="AN754" s="103">
        <v>25</v>
      </c>
      <c r="AO754" s="103">
        <v>30</v>
      </c>
      <c r="AP754" s="103">
        <v>50</v>
      </c>
      <c r="AQ754" s="103">
        <v>35</v>
      </c>
      <c r="AR754" s="103">
        <v>29</v>
      </c>
      <c r="AS754" s="103">
        <v>52</v>
      </c>
      <c r="AT754" s="103">
        <v>31</v>
      </c>
      <c r="AU754" s="103"/>
      <c r="AV754" s="103"/>
      <c r="AW754" s="104" t="str">
        <f>HYPERLINK("http://www.openstreetmap.org/?mlat=35.2315&amp;mlon=43.4689&amp;zoom=12#map=12/35.2315/43.4689","Maplink1")</f>
        <v>Maplink1</v>
      </c>
      <c r="AX754" s="104" t="str">
        <f>HYPERLINK("https://www.google.iq/maps/search/+35.2315,43.4689/@35.2315,43.4689,14z?hl=en","Maplink2")</f>
        <v>Maplink2</v>
      </c>
      <c r="AY754" s="104" t="str">
        <f>HYPERLINK("http://www.bing.com/maps/?lvl=14&amp;sty=h&amp;cp=35.2315~43.4689&amp;sp=point.35.2315_43.4689","Maplink3")</f>
        <v>Maplink3</v>
      </c>
    </row>
    <row r="755" spans="1:51" x14ac:dyDescent="0.2">
      <c r="A755" s="102">
        <v>23072</v>
      </c>
      <c r="B755" s="103" t="s">
        <v>34</v>
      </c>
      <c r="C755" s="103" t="s">
        <v>95</v>
      </c>
      <c r="D755" s="103" t="s">
        <v>1723</v>
      </c>
      <c r="E755" s="103" t="s">
        <v>1724</v>
      </c>
      <c r="F755" s="103">
        <v>35.392802000000003</v>
      </c>
      <c r="G755" s="103">
        <v>43.968913818499999</v>
      </c>
      <c r="H755" s="102">
        <v>100</v>
      </c>
      <c r="I755" s="102">
        <v>600</v>
      </c>
      <c r="J755" s="103"/>
      <c r="K755" s="103"/>
      <c r="L755" s="103"/>
      <c r="M755" s="103">
        <v>100</v>
      </c>
      <c r="N755" s="103"/>
      <c r="O755" s="103"/>
      <c r="P755" s="103"/>
      <c r="Q755" s="103"/>
      <c r="R755" s="103"/>
      <c r="S755" s="103"/>
      <c r="T755" s="103"/>
      <c r="U755" s="103"/>
      <c r="V755" s="103"/>
      <c r="W755" s="103"/>
      <c r="X755" s="103"/>
      <c r="Y755" s="103"/>
      <c r="Z755" s="103"/>
      <c r="AA755" s="103"/>
      <c r="AB755" s="103"/>
      <c r="AC755" s="103">
        <v>100</v>
      </c>
      <c r="AD755" s="103"/>
      <c r="AE755" s="103"/>
      <c r="AF755" s="103"/>
      <c r="AG755" s="103"/>
      <c r="AH755" s="103"/>
      <c r="AI755" s="103"/>
      <c r="AJ755" s="103"/>
      <c r="AK755" s="103"/>
      <c r="AL755" s="103"/>
      <c r="AM755" s="103"/>
      <c r="AN755" s="103">
        <v>5</v>
      </c>
      <c r="AO755" s="103"/>
      <c r="AP755" s="103">
        <v>20</v>
      </c>
      <c r="AQ755" s="103">
        <v>30</v>
      </c>
      <c r="AR755" s="103">
        <v>5</v>
      </c>
      <c r="AS755" s="103">
        <v>40</v>
      </c>
      <c r="AT755" s="103"/>
      <c r="AU755" s="103"/>
      <c r="AV755" s="103"/>
      <c r="AW755" s="104" t="str">
        <f>HYPERLINK("http://www.openstreetmap.org/?mlat=35.3928&amp;mlon=43.9689&amp;zoom=12#map=12/35.3928/43.9689","Maplink1")</f>
        <v>Maplink1</v>
      </c>
      <c r="AX755" s="104" t="str">
        <f>HYPERLINK("https://www.google.iq/maps/search/+35.3928,43.9689/@35.3928,43.9689,14z?hl=en","Maplink2")</f>
        <v>Maplink2</v>
      </c>
      <c r="AY755" s="104" t="str">
        <f>HYPERLINK("http://www.bing.com/maps/?lvl=14&amp;sty=h&amp;cp=35.3928~43.9689&amp;sp=point.35.3928_43.9689","Maplink3")</f>
        <v>Maplink3</v>
      </c>
    </row>
    <row r="756" spans="1:51" x14ac:dyDescent="0.2">
      <c r="A756" s="102">
        <v>15144</v>
      </c>
      <c r="B756" s="103" t="s">
        <v>34</v>
      </c>
      <c r="C756" s="103" t="s">
        <v>95</v>
      </c>
      <c r="D756" s="103" t="s">
        <v>1725</v>
      </c>
      <c r="E756" s="103" t="s">
        <v>1726</v>
      </c>
      <c r="F756" s="103">
        <v>35.213700000000003</v>
      </c>
      <c r="G756" s="103">
        <v>43.823889945799998</v>
      </c>
      <c r="H756" s="102">
        <v>58</v>
      </c>
      <c r="I756" s="102">
        <v>348</v>
      </c>
      <c r="J756" s="103"/>
      <c r="K756" s="103"/>
      <c r="L756" s="103"/>
      <c r="M756" s="103">
        <v>58</v>
      </c>
      <c r="N756" s="103"/>
      <c r="O756" s="103"/>
      <c r="P756" s="103"/>
      <c r="Q756" s="103"/>
      <c r="R756" s="103"/>
      <c r="S756" s="103"/>
      <c r="T756" s="103"/>
      <c r="U756" s="103"/>
      <c r="V756" s="103"/>
      <c r="W756" s="103"/>
      <c r="X756" s="103"/>
      <c r="Y756" s="103"/>
      <c r="Z756" s="103"/>
      <c r="AA756" s="103"/>
      <c r="AB756" s="103"/>
      <c r="AC756" s="103">
        <v>53</v>
      </c>
      <c r="AD756" s="103"/>
      <c r="AE756" s="103"/>
      <c r="AF756" s="103"/>
      <c r="AG756" s="103"/>
      <c r="AH756" s="103"/>
      <c r="AI756" s="103">
        <v>5</v>
      </c>
      <c r="AJ756" s="103"/>
      <c r="AK756" s="103"/>
      <c r="AL756" s="103"/>
      <c r="AM756" s="103"/>
      <c r="AN756" s="103"/>
      <c r="AO756" s="103">
        <v>10</v>
      </c>
      <c r="AP756" s="103">
        <v>10</v>
      </c>
      <c r="AQ756" s="103">
        <v>5</v>
      </c>
      <c r="AR756" s="103">
        <v>25</v>
      </c>
      <c r="AS756" s="103">
        <v>8</v>
      </c>
      <c r="AT756" s="103"/>
      <c r="AU756" s="103"/>
      <c r="AV756" s="103"/>
      <c r="AW756" s="104" t="str">
        <f>HYPERLINK("http://www.openstreetmap.org/?mlat=35.2137&amp;mlon=43.8239&amp;zoom=12#map=12/35.2137/43.8239","Maplink1")</f>
        <v>Maplink1</v>
      </c>
      <c r="AX756" s="104" t="str">
        <f>HYPERLINK("https://www.google.iq/maps/search/+35.2137,43.8239/@35.2137,43.8239,14z?hl=en","Maplink2")</f>
        <v>Maplink2</v>
      </c>
      <c r="AY756" s="104" t="str">
        <f>HYPERLINK("http://www.bing.com/maps/?lvl=14&amp;sty=h&amp;cp=35.2137~43.8239&amp;sp=point.35.2137_43.8239","Maplink3")</f>
        <v>Maplink3</v>
      </c>
    </row>
    <row r="757" spans="1:51" x14ac:dyDescent="0.2">
      <c r="A757" s="102">
        <v>14950</v>
      </c>
      <c r="B757" s="103" t="s">
        <v>34</v>
      </c>
      <c r="C757" s="103" t="s">
        <v>95</v>
      </c>
      <c r="D757" s="103" t="s">
        <v>1727</v>
      </c>
      <c r="E757" s="103" t="s">
        <v>1728</v>
      </c>
      <c r="F757" s="103">
        <v>35.144399999999997</v>
      </c>
      <c r="G757" s="103">
        <v>43.803735912100002</v>
      </c>
      <c r="H757" s="102">
        <v>23</v>
      </c>
      <c r="I757" s="102">
        <v>138</v>
      </c>
      <c r="J757" s="103"/>
      <c r="K757" s="103"/>
      <c r="L757" s="103"/>
      <c r="M757" s="103">
        <v>16</v>
      </c>
      <c r="N757" s="103">
        <v>7</v>
      </c>
      <c r="O757" s="103"/>
      <c r="P757" s="103"/>
      <c r="Q757" s="103"/>
      <c r="R757" s="103"/>
      <c r="S757" s="103"/>
      <c r="T757" s="103"/>
      <c r="U757" s="103"/>
      <c r="V757" s="103"/>
      <c r="W757" s="103"/>
      <c r="X757" s="103"/>
      <c r="Y757" s="103"/>
      <c r="Z757" s="103"/>
      <c r="AA757" s="103"/>
      <c r="AB757" s="103"/>
      <c r="AC757" s="103">
        <v>18</v>
      </c>
      <c r="AD757" s="103"/>
      <c r="AE757" s="103"/>
      <c r="AF757" s="103"/>
      <c r="AG757" s="103"/>
      <c r="AH757" s="103"/>
      <c r="AI757" s="103">
        <v>5</v>
      </c>
      <c r="AJ757" s="103"/>
      <c r="AK757" s="103"/>
      <c r="AL757" s="103"/>
      <c r="AM757" s="103"/>
      <c r="AN757" s="103"/>
      <c r="AO757" s="103">
        <v>5</v>
      </c>
      <c r="AP757" s="103">
        <v>18</v>
      </c>
      <c r="AQ757" s="103"/>
      <c r="AR757" s="103"/>
      <c r="AS757" s="103"/>
      <c r="AT757" s="103"/>
      <c r="AU757" s="103"/>
      <c r="AV757" s="103"/>
      <c r="AW757" s="104" t="str">
        <f>HYPERLINK("http://www.openstreetmap.org/?mlat=35.1444&amp;mlon=43.8037&amp;zoom=12#map=12/35.1444/43.8037","Maplink1")</f>
        <v>Maplink1</v>
      </c>
      <c r="AX757" s="104" t="str">
        <f>HYPERLINK("https://www.google.iq/maps/search/+35.1444,43.8037/@35.1444,43.8037,14z?hl=en","Maplink2")</f>
        <v>Maplink2</v>
      </c>
      <c r="AY757" s="104" t="str">
        <f>HYPERLINK("http://www.bing.com/maps/?lvl=14&amp;sty=h&amp;cp=35.1444~43.8037&amp;sp=point.35.1444_43.8037","Maplink3")</f>
        <v>Maplink3</v>
      </c>
    </row>
    <row r="758" spans="1:51" x14ac:dyDescent="0.2">
      <c r="A758" s="102">
        <v>33287</v>
      </c>
      <c r="B758" s="103" t="s">
        <v>34</v>
      </c>
      <c r="C758" s="103" t="s">
        <v>95</v>
      </c>
      <c r="D758" s="103" t="s">
        <v>1729</v>
      </c>
      <c r="E758" s="103" t="s">
        <v>1730</v>
      </c>
      <c r="F758" s="103">
        <v>35.112810000000003</v>
      </c>
      <c r="G758" s="103">
        <v>43.515357248299999</v>
      </c>
      <c r="H758" s="102">
        <v>218</v>
      </c>
      <c r="I758" s="102">
        <v>1308</v>
      </c>
      <c r="J758" s="103"/>
      <c r="K758" s="103"/>
      <c r="L758" s="103"/>
      <c r="M758" s="103">
        <v>212</v>
      </c>
      <c r="N758" s="103">
        <v>6</v>
      </c>
      <c r="O758" s="103"/>
      <c r="P758" s="103"/>
      <c r="Q758" s="103"/>
      <c r="R758" s="103"/>
      <c r="S758" s="103"/>
      <c r="T758" s="103"/>
      <c r="U758" s="103"/>
      <c r="V758" s="103"/>
      <c r="W758" s="103"/>
      <c r="X758" s="103"/>
      <c r="Y758" s="103"/>
      <c r="Z758" s="103"/>
      <c r="AA758" s="103"/>
      <c r="AB758" s="103"/>
      <c r="AC758" s="103">
        <v>124</v>
      </c>
      <c r="AD758" s="103"/>
      <c r="AE758" s="103"/>
      <c r="AF758" s="103"/>
      <c r="AG758" s="103"/>
      <c r="AH758" s="103"/>
      <c r="AI758" s="103">
        <v>94</v>
      </c>
      <c r="AJ758" s="103"/>
      <c r="AK758" s="103"/>
      <c r="AL758" s="103"/>
      <c r="AM758" s="103"/>
      <c r="AN758" s="103"/>
      <c r="AO758" s="103">
        <v>25</v>
      </c>
      <c r="AP758" s="103">
        <v>15</v>
      </c>
      <c r="AQ758" s="103">
        <v>20</v>
      </c>
      <c r="AR758" s="103">
        <v>80</v>
      </c>
      <c r="AS758" s="103">
        <v>48</v>
      </c>
      <c r="AT758" s="103">
        <v>30</v>
      </c>
      <c r="AU758" s="103"/>
      <c r="AV758" s="103"/>
      <c r="AW758" s="104" t="str">
        <f>HYPERLINK("http://www.openstreetmap.org/?mlat=35.1128&amp;mlon=43.5154&amp;zoom=12#map=12/35.1128/43.5154","Maplink1")</f>
        <v>Maplink1</v>
      </c>
      <c r="AX758" s="104" t="str">
        <f>HYPERLINK("https://www.google.iq/maps/search/+35.1128,43.5154/@35.1128,43.5154,14z?hl=en","Maplink2")</f>
        <v>Maplink2</v>
      </c>
      <c r="AY758" s="104" t="str">
        <f>HYPERLINK("http://www.bing.com/maps/?lvl=14&amp;sty=h&amp;cp=35.1128~43.5154&amp;sp=point.35.1128_43.5154","Maplink3")</f>
        <v>Maplink3</v>
      </c>
    </row>
    <row r="759" spans="1:51" x14ac:dyDescent="0.2">
      <c r="A759" s="102">
        <v>14847</v>
      </c>
      <c r="B759" s="103" t="s">
        <v>34</v>
      </c>
      <c r="C759" s="103" t="s">
        <v>95</v>
      </c>
      <c r="D759" s="103" t="s">
        <v>1731</v>
      </c>
      <c r="E759" s="103" t="s">
        <v>1732</v>
      </c>
      <c r="F759" s="103">
        <v>35.236960000000003</v>
      </c>
      <c r="G759" s="103">
        <v>43.637207091000001</v>
      </c>
      <c r="H759" s="102">
        <v>58</v>
      </c>
      <c r="I759" s="102">
        <v>348</v>
      </c>
      <c r="J759" s="103"/>
      <c r="K759" s="103"/>
      <c r="L759" s="103"/>
      <c r="M759" s="103">
        <v>58</v>
      </c>
      <c r="N759" s="103"/>
      <c r="O759" s="103"/>
      <c r="P759" s="103"/>
      <c r="Q759" s="103"/>
      <c r="R759" s="103"/>
      <c r="S759" s="103"/>
      <c r="T759" s="103"/>
      <c r="U759" s="103"/>
      <c r="V759" s="103"/>
      <c r="W759" s="103"/>
      <c r="X759" s="103"/>
      <c r="Y759" s="103"/>
      <c r="Z759" s="103"/>
      <c r="AA759" s="103"/>
      <c r="AB759" s="103"/>
      <c r="AC759" s="103">
        <v>58</v>
      </c>
      <c r="AD759" s="103"/>
      <c r="AE759" s="103"/>
      <c r="AF759" s="103"/>
      <c r="AG759" s="103"/>
      <c r="AH759" s="103"/>
      <c r="AI759" s="103"/>
      <c r="AJ759" s="103"/>
      <c r="AK759" s="103"/>
      <c r="AL759" s="103"/>
      <c r="AM759" s="103"/>
      <c r="AN759" s="103"/>
      <c r="AO759" s="103">
        <v>5</v>
      </c>
      <c r="AP759" s="103">
        <v>15</v>
      </c>
      <c r="AQ759" s="103">
        <v>12</v>
      </c>
      <c r="AR759" s="103">
        <v>6</v>
      </c>
      <c r="AS759" s="103">
        <v>20</v>
      </c>
      <c r="AT759" s="103"/>
      <c r="AU759" s="103"/>
      <c r="AV759" s="103"/>
      <c r="AW759" s="104" t="str">
        <f>HYPERLINK("http://www.openstreetmap.org/?mlat=35.237&amp;mlon=43.6372&amp;zoom=12#map=12/35.237/43.6372","Maplink1")</f>
        <v>Maplink1</v>
      </c>
      <c r="AX759" s="104" t="str">
        <f>HYPERLINK("https://www.google.iq/maps/search/+35.237,43.6372/@35.237,43.6372,14z?hl=en","Maplink2")</f>
        <v>Maplink2</v>
      </c>
      <c r="AY759" s="104" t="str">
        <f>HYPERLINK("http://www.bing.com/maps/?lvl=14&amp;sty=h&amp;cp=35.237~43.6372&amp;sp=point.35.237_43.6372","Maplink3")</f>
        <v>Maplink3</v>
      </c>
    </row>
    <row r="760" spans="1:51" x14ac:dyDescent="0.2">
      <c r="A760" s="102">
        <v>33689</v>
      </c>
      <c r="B760" s="103" t="s">
        <v>34</v>
      </c>
      <c r="C760" s="103" t="s">
        <v>95</v>
      </c>
      <c r="D760" s="103" t="s">
        <v>1733</v>
      </c>
      <c r="E760" s="103" t="s">
        <v>1734</v>
      </c>
      <c r="F760" s="103">
        <v>35.444224599999998</v>
      </c>
      <c r="G760" s="103">
        <v>43.80943774</v>
      </c>
      <c r="H760" s="102">
        <v>200</v>
      </c>
      <c r="I760" s="102">
        <v>1200</v>
      </c>
      <c r="J760" s="103"/>
      <c r="K760" s="103"/>
      <c r="L760" s="103"/>
      <c r="M760" s="103">
        <v>200</v>
      </c>
      <c r="N760" s="103"/>
      <c r="O760" s="103"/>
      <c r="P760" s="103"/>
      <c r="Q760" s="103"/>
      <c r="R760" s="103"/>
      <c r="S760" s="103"/>
      <c r="T760" s="103"/>
      <c r="U760" s="103"/>
      <c r="V760" s="103"/>
      <c r="W760" s="103"/>
      <c r="X760" s="103"/>
      <c r="Y760" s="103"/>
      <c r="Z760" s="103"/>
      <c r="AA760" s="103"/>
      <c r="AB760" s="103"/>
      <c r="AC760" s="103">
        <v>160</v>
      </c>
      <c r="AD760" s="103"/>
      <c r="AE760" s="103"/>
      <c r="AF760" s="103"/>
      <c r="AG760" s="103"/>
      <c r="AH760" s="103"/>
      <c r="AI760" s="103">
        <v>40</v>
      </c>
      <c r="AJ760" s="103"/>
      <c r="AK760" s="103"/>
      <c r="AL760" s="103"/>
      <c r="AM760" s="103"/>
      <c r="AN760" s="103">
        <v>15</v>
      </c>
      <c r="AO760" s="103">
        <v>35</v>
      </c>
      <c r="AP760" s="103">
        <v>35</v>
      </c>
      <c r="AQ760" s="103">
        <v>45</v>
      </c>
      <c r="AR760" s="103">
        <v>40</v>
      </c>
      <c r="AS760" s="103">
        <v>30</v>
      </c>
      <c r="AT760" s="103"/>
      <c r="AU760" s="103"/>
      <c r="AV760" s="103"/>
      <c r="AW760" s="104" t="str">
        <f>HYPERLINK("http://www.openstreetmap.org/?mlat=35.4442&amp;mlon=43.8094&amp;zoom=12#map=12/35.4442/43.8094","Maplink1")</f>
        <v>Maplink1</v>
      </c>
      <c r="AX760" s="104" t="str">
        <f>HYPERLINK("https://www.google.iq/maps/search/+35.4442,43.8094/@35.4442,43.8094,14z?hl=en","Maplink2")</f>
        <v>Maplink2</v>
      </c>
      <c r="AY760" s="104" t="str">
        <f>HYPERLINK("http://www.bing.com/maps/?lvl=14&amp;sty=h&amp;cp=35.4442~43.8094&amp;sp=point.35.4442_43.8094","Maplink3")</f>
        <v>Maplink3</v>
      </c>
    </row>
    <row r="761" spans="1:51" x14ac:dyDescent="0.2">
      <c r="A761" s="102">
        <v>14996</v>
      </c>
      <c r="B761" s="103" t="s">
        <v>34</v>
      </c>
      <c r="C761" s="103" t="s">
        <v>95</v>
      </c>
      <c r="D761" s="103" t="s">
        <v>1751</v>
      </c>
      <c r="E761" s="103" t="s">
        <v>1752</v>
      </c>
      <c r="F761" s="103">
        <v>35.258600000000001</v>
      </c>
      <c r="G761" s="103">
        <v>43.7552292855</v>
      </c>
      <c r="H761" s="102">
        <v>46</v>
      </c>
      <c r="I761" s="102">
        <v>276</v>
      </c>
      <c r="J761" s="103">
        <v>10</v>
      </c>
      <c r="K761" s="103"/>
      <c r="L761" s="103"/>
      <c r="M761" s="103">
        <v>36</v>
      </c>
      <c r="N761" s="103"/>
      <c r="O761" s="103"/>
      <c r="P761" s="103"/>
      <c r="Q761" s="103"/>
      <c r="R761" s="103"/>
      <c r="S761" s="103"/>
      <c r="T761" s="103"/>
      <c r="U761" s="103"/>
      <c r="V761" s="103"/>
      <c r="W761" s="103"/>
      <c r="X761" s="103"/>
      <c r="Y761" s="103"/>
      <c r="Z761" s="103"/>
      <c r="AA761" s="103"/>
      <c r="AB761" s="103"/>
      <c r="AC761" s="103">
        <v>31</v>
      </c>
      <c r="AD761" s="103"/>
      <c r="AE761" s="103"/>
      <c r="AF761" s="103"/>
      <c r="AG761" s="103"/>
      <c r="AH761" s="103"/>
      <c r="AI761" s="103">
        <v>15</v>
      </c>
      <c r="AJ761" s="103"/>
      <c r="AK761" s="103"/>
      <c r="AL761" s="103"/>
      <c r="AM761" s="103"/>
      <c r="AN761" s="103">
        <v>2</v>
      </c>
      <c r="AO761" s="103">
        <v>2</v>
      </c>
      <c r="AP761" s="103">
        <v>3</v>
      </c>
      <c r="AQ761" s="103">
        <v>13</v>
      </c>
      <c r="AR761" s="103">
        <v>8</v>
      </c>
      <c r="AS761" s="103">
        <v>8</v>
      </c>
      <c r="AT761" s="103">
        <v>10</v>
      </c>
      <c r="AU761" s="103"/>
      <c r="AV761" s="103"/>
      <c r="AW761" s="104" t="str">
        <f>HYPERLINK("http://www.openstreetmap.org/?mlat=35.2586&amp;mlon=43.7552&amp;zoom=12#map=12/35.2586/43.7552","Maplink1")</f>
        <v>Maplink1</v>
      </c>
      <c r="AX761" s="104" t="str">
        <f>HYPERLINK("https://www.google.iq/maps/search/+35.2586,43.7552/@35.2586,43.7552,14z?hl=en","Maplink2")</f>
        <v>Maplink2</v>
      </c>
      <c r="AY761" s="104" t="str">
        <f>HYPERLINK("http://www.bing.com/maps/?lvl=14&amp;sty=h&amp;cp=35.2586~43.7552&amp;sp=point.35.2586_43.7552","Maplink3")</f>
        <v>Maplink3</v>
      </c>
    </row>
    <row r="762" spans="1:51" x14ac:dyDescent="0.2">
      <c r="A762" s="102">
        <v>14896</v>
      </c>
      <c r="B762" s="103" t="s">
        <v>34</v>
      </c>
      <c r="C762" s="103" t="s">
        <v>95</v>
      </c>
      <c r="D762" s="103" t="s">
        <v>1753</v>
      </c>
      <c r="E762" s="103" t="s">
        <v>1754</v>
      </c>
      <c r="F762" s="103">
        <v>35.322580000000002</v>
      </c>
      <c r="G762" s="103">
        <v>43.770346461000003</v>
      </c>
      <c r="H762" s="102">
        <v>179</v>
      </c>
      <c r="I762" s="102">
        <v>1074</v>
      </c>
      <c r="J762" s="103"/>
      <c r="K762" s="103"/>
      <c r="L762" s="103">
        <v>15</v>
      </c>
      <c r="M762" s="103">
        <v>159</v>
      </c>
      <c r="N762" s="103">
        <v>5</v>
      </c>
      <c r="O762" s="103"/>
      <c r="P762" s="103"/>
      <c r="Q762" s="103"/>
      <c r="R762" s="103"/>
      <c r="S762" s="103"/>
      <c r="T762" s="103"/>
      <c r="U762" s="103"/>
      <c r="V762" s="103"/>
      <c r="W762" s="103">
        <v>2</v>
      </c>
      <c r="X762" s="103"/>
      <c r="Y762" s="103"/>
      <c r="Z762" s="103"/>
      <c r="AA762" s="103"/>
      <c r="AB762" s="103"/>
      <c r="AC762" s="103">
        <v>152</v>
      </c>
      <c r="AD762" s="103"/>
      <c r="AE762" s="103"/>
      <c r="AF762" s="103"/>
      <c r="AG762" s="103"/>
      <c r="AH762" s="103"/>
      <c r="AI762" s="103">
        <v>25</v>
      </c>
      <c r="AJ762" s="103"/>
      <c r="AK762" s="103"/>
      <c r="AL762" s="103"/>
      <c r="AM762" s="103"/>
      <c r="AN762" s="103">
        <v>4</v>
      </c>
      <c r="AO762" s="103">
        <v>25</v>
      </c>
      <c r="AP762" s="103">
        <v>25</v>
      </c>
      <c r="AQ762" s="103">
        <v>25</v>
      </c>
      <c r="AR762" s="103">
        <v>35</v>
      </c>
      <c r="AS762" s="103">
        <v>35</v>
      </c>
      <c r="AT762" s="103">
        <v>30</v>
      </c>
      <c r="AU762" s="103"/>
      <c r="AV762" s="103"/>
      <c r="AW762" s="104" t="str">
        <f>HYPERLINK("http://www.openstreetmap.org/?mlat=35.3226&amp;mlon=43.7703&amp;zoom=12#map=12/35.3226/43.7703","Maplink1")</f>
        <v>Maplink1</v>
      </c>
      <c r="AX762" s="104" t="str">
        <f>HYPERLINK("https://www.google.iq/maps/search/+35.3226,43.7703/@35.3226,43.7703,14z?hl=en","Maplink2")</f>
        <v>Maplink2</v>
      </c>
      <c r="AY762" s="104" t="str">
        <f>HYPERLINK("http://www.bing.com/maps/?lvl=14&amp;sty=h&amp;cp=35.3226~43.7703&amp;sp=point.35.3226_43.7703","Maplink3")</f>
        <v>Maplink3</v>
      </c>
    </row>
    <row r="763" spans="1:51" x14ac:dyDescent="0.2">
      <c r="A763" s="102">
        <v>15323</v>
      </c>
      <c r="B763" s="103" t="s">
        <v>34</v>
      </c>
      <c r="C763" s="103" t="s">
        <v>95</v>
      </c>
      <c r="D763" s="103" t="s">
        <v>1755</v>
      </c>
      <c r="E763" s="103" t="s">
        <v>1756</v>
      </c>
      <c r="F763" s="103">
        <v>35.364789999999999</v>
      </c>
      <c r="G763" s="103">
        <v>43.862624075500001</v>
      </c>
      <c r="H763" s="102">
        <v>21</v>
      </c>
      <c r="I763" s="102">
        <v>126</v>
      </c>
      <c r="J763" s="103"/>
      <c r="K763" s="103"/>
      <c r="L763" s="103"/>
      <c r="M763" s="103">
        <v>21</v>
      </c>
      <c r="N763" s="103"/>
      <c r="O763" s="103"/>
      <c r="P763" s="103"/>
      <c r="Q763" s="103"/>
      <c r="R763" s="103"/>
      <c r="S763" s="103"/>
      <c r="T763" s="103"/>
      <c r="U763" s="103"/>
      <c r="V763" s="103"/>
      <c r="W763" s="103"/>
      <c r="X763" s="103"/>
      <c r="Y763" s="103"/>
      <c r="Z763" s="103"/>
      <c r="AA763" s="103"/>
      <c r="AB763" s="103"/>
      <c r="AC763" s="103">
        <v>21</v>
      </c>
      <c r="AD763" s="103"/>
      <c r="AE763" s="103"/>
      <c r="AF763" s="103"/>
      <c r="AG763" s="103"/>
      <c r="AH763" s="103"/>
      <c r="AI763" s="103"/>
      <c r="AJ763" s="103"/>
      <c r="AK763" s="103"/>
      <c r="AL763" s="103"/>
      <c r="AM763" s="103"/>
      <c r="AN763" s="103"/>
      <c r="AO763" s="103"/>
      <c r="AP763" s="103">
        <v>5</v>
      </c>
      <c r="AQ763" s="103">
        <v>10</v>
      </c>
      <c r="AR763" s="103">
        <v>5</v>
      </c>
      <c r="AS763" s="103">
        <v>1</v>
      </c>
      <c r="AT763" s="103"/>
      <c r="AU763" s="103"/>
      <c r="AV763" s="103"/>
      <c r="AW763" s="104" t="str">
        <f>HYPERLINK("http://www.openstreetmap.org/?mlat=35.3648&amp;mlon=43.8626&amp;zoom=12#map=12/35.3648/43.8626","Maplink1")</f>
        <v>Maplink1</v>
      </c>
      <c r="AX763" s="104" t="str">
        <f>HYPERLINK("https://www.google.iq/maps/search/+35.3648,43.8626/@35.3648,43.8626,14z?hl=en","Maplink2")</f>
        <v>Maplink2</v>
      </c>
      <c r="AY763" s="104" t="str">
        <f>HYPERLINK("http://www.bing.com/maps/?lvl=14&amp;sty=h&amp;cp=35.3648~43.8626&amp;sp=point.35.3648_43.8626","Maplink3")</f>
        <v>Maplink3</v>
      </c>
    </row>
    <row r="764" spans="1:51" x14ac:dyDescent="0.2">
      <c r="A764" s="102">
        <v>15379</v>
      </c>
      <c r="B764" s="103" t="s">
        <v>34</v>
      </c>
      <c r="C764" s="103" t="s">
        <v>95</v>
      </c>
      <c r="D764" s="103" t="s">
        <v>1757</v>
      </c>
      <c r="E764" s="103" t="s">
        <v>1758</v>
      </c>
      <c r="F764" s="103">
        <v>35.369917861099999</v>
      </c>
      <c r="G764" s="103">
        <v>43.778026550600003</v>
      </c>
      <c r="H764" s="102">
        <v>30</v>
      </c>
      <c r="I764" s="102">
        <v>180</v>
      </c>
      <c r="J764" s="103"/>
      <c r="K764" s="103"/>
      <c r="L764" s="103"/>
      <c r="M764" s="103">
        <v>30</v>
      </c>
      <c r="N764" s="103"/>
      <c r="O764" s="103"/>
      <c r="P764" s="103"/>
      <c r="Q764" s="103"/>
      <c r="R764" s="103"/>
      <c r="S764" s="103"/>
      <c r="T764" s="103"/>
      <c r="U764" s="103"/>
      <c r="V764" s="103"/>
      <c r="W764" s="103"/>
      <c r="X764" s="103"/>
      <c r="Y764" s="103"/>
      <c r="Z764" s="103"/>
      <c r="AA764" s="103"/>
      <c r="AB764" s="103"/>
      <c r="AC764" s="103">
        <v>20</v>
      </c>
      <c r="AD764" s="103"/>
      <c r="AE764" s="103"/>
      <c r="AF764" s="103"/>
      <c r="AG764" s="103"/>
      <c r="AH764" s="103"/>
      <c r="AI764" s="103">
        <v>10</v>
      </c>
      <c r="AJ764" s="103"/>
      <c r="AK764" s="103"/>
      <c r="AL764" s="103"/>
      <c r="AM764" s="103"/>
      <c r="AN764" s="103"/>
      <c r="AO764" s="103"/>
      <c r="AP764" s="103">
        <v>5</v>
      </c>
      <c r="AQ764" s="103">
        <v>10</v>
      </c>
      <c r="AR764" s="103">
        <v>10</v>
      </c>
      <c r="AS764" s="103">
        <v>5</v>
      </c>
      <c r="AT764" s="103"/>
      <c r="AU764" s="103"/>
      <c r="AV764" s="103"/>
      <c r="AW764" s="104" t="str">
        <f>HYPERLINK("http://www.openstreetmap.org/?mlat=35.3699&amp;mlon=43.778&amp;zoom=12#map=12/35.3699/43.778","Maplink1")</f>
        <v>Maplink1</v>
      </c>
      <c r="AX764" s="104" t="str">
        <f>HYPERLINK("https://www.google.iq/maps/search/+35.3699,43.778/@35.3699,43.778,14z?hl=en","Maplink2")</f>
        <v>Maplink2</v>
      </c>
      <c r="AY764" s="104" t="str">
        <f>HYPERLINK("http://www.bing.com/maps/?lvl=14&amp;sty=h&amp;cp=35.3699~43.778&amp;sp=point.35.3699_43.778","Maplink3")</f>
        <v>Maplink3</v>
      </c>
    </row>
    <row r="765" spans="1:51" x14ac:dyDescent="0.2">
      <c r="A765" s="102">
        <v>15233</v>
      </c>
      <c r="B765" s="103" t="s">
        <v>34</v>
      </c>
      <c r="C765" s="103" t="s">
        <v>95</v>
      </c>
      <c r="D765" s="103" t="s">
        <v>1546</v>
      </c>
      <c r="E765" s="103" t="s">
        <v>1547</v>
      </c>
      <c r="F765" s="103">
        <v>35.291089999999997</v>
      </c>
      <c r="G765" s="103">
        <v>43.727020012300002</v>
      </c>
      <c r="H765" s="102">
        <v>230</v>
      </c>
      <c r="I765" s="102">
        <v>1380</v>
      </c>
      <c r="J765" s="103"/>
      <c r="K765" s="103"/>
      <c r="L765" s="103"/>
      <c r="M765" s="103">
        <v>229</v>
      </c>
      <c r="N765" s="103">
        <v>1</v>
      </c>
      <c r="O765" s="103"/>
      <c r="P765" s="103"/>
      <c r="Q765" s="103"/>
      <c r="R765" s="103"/>
      <c r="S765" s="103"/>
      <c r="T765" s="103"/>
      <c r="U765" s="103"/>
      <c r="V765" s="103"/>
      <c r="W765" s="103"/>
      <c r="X765" s="103"/>
      <c r="Y765" s="103"/>
      <c r="Z765" s="103"/>
      <c r="AA765" s="103"/>
      <c r="AB765" s="103"/>
      <c r="AC765" s="103">
        <v>194</v>
      </c>
      <c r="AD765" s="103"/>
      <c r="AE765" s="103"/>
      <c r="AF765" s="103"/>
      <c r="AG765" s="103"/>
      <c r="AH765" s="103"/>
      <c r="AI765" s="103">
        <v>36</v>
      </c>
      <c r="AJ765" s="103"/>
      <c r="AK765" s="103"/>
      <c r="AL765" s="103"/>
      <c r="AM765" s="103"/>
      <c r="AN765" s="103"/>
      <c r="AO765" s="103">
        <v>30</v>
      </c>
      <c r="AP765" s="103">
        <v>45</v>
      </c>
      <c r="AQ765" s="103">
        <v>20</v>
      </c>
      <c r="AR765" s="103">
        <v>40</v>
      </c>
      <c r="AS765" s="103">
        <v>60</v>
      </c>
      <c r="AT765" s="103">
        <v>35</v>
      </c>
      <c r="AU765" s="103"/>
      <c r="AV765" s="103"/>
      <c r="AW765" s="104" t="str">
        <f>HYPERLINK("http://www.openstreetmap.org/?mlat=35.2911&amp;mlon=43.727&amp;zoom=12#map=12/35.2911/43.727","Maplink1")</f>
        <v>Maplink1</v>
      </c>
      <c r="AX765" s="104" t="str">
        <f>HYPERLINK("https://www.google.iq/maps/search/+35.2911,43.727/@35.2911,43.727,14z?hl=en","Maplink2")</f>
        <v>Maplink2</v>
      </c>
      <c r="AY765" s="104" t="str">
        <f>HYPERLINK("http://www.bing.com/maps/?lvl=14&amp;sty=h&amp;cp=35.2911~43.727&amp;sp=point.35.2911_43.727","Maplink3")</f>
        <v>Maplink3</v>
      </c>
    </row>
    <row r="766" spans="1:51" x14ac:dyDescent="0.2">
      <c r="A766" s="102">
        <v>15179</v>
      </c>
      <c r="B766" s="103" t="s">
        <v>34</v>
      </c>
      <c r="C766" s="103" t="s">
        <v>95</v>
      </c>
      <c r="D766" s="103" t="s">
        <v>1548</v>
      </c>
      <c r="E766" s="103" t="s">
        <v>1549</v>
      </c>
      <c r="F766" s="103">
        <v>35.248809999999999</v>
      </c>
      <c r="G766" s="103">
        <v>43.572229098000001</v>
      </c>
      <c r="H766" s="102">
        <v>101</v>
      </c>
      <c r="I766" s="102">
        <v>606</v>
      </c>
      <c r="J766" s="103"/>
      <c r="K766" s="103"/>
      <c r="L766" s="103"/>
      <c r="M766" s="103">
        <v>101</v>
      </c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103"/>
      <c r="AA766" s="103"/>
      <c r="AB766" s="103"/>
      <c r="AC766" s="103">
        <v>90</v>
      </c>
      <c r="AD766" s="103"/>
      <c r="AE766" s="103"/>
      <c r="AF766" s="103"/>
      <c r="AG766" s="103"/>
      <c r="AH766" s="103"/>
      <c r="AI766" s="103">
        <v>11</v>
      </c>
      <c r="AJ766" s="103"/>
      <c r="AK766" s="103"/>
      <c r="AL766" s="103"/>
      <c r="AM766" s="103"/>
      <c r="AN766" s="103">
        <v>5</v>
      </c>
      <c r="AO766" s="103">
        <v>10</v>
      </c>
      <c r="AP766" s="103">
        <v>25</v>
      </c>
      <c r="AQ766" s="103">
        <v>9</v>
      </c>
      <c r="AR766" s="103">
        <v>17</v>
      </c>
      <c r="AS766" s="103">
        <v>25</v>
      </c>
      <c r="AT766" s="103">
        <v>10</v>
      </c>
      <c r="AU766" s="103"/>
      <c r="AV766" s="103"/>
      <c r="AW766" s="104" t="str">
        <f>HYPERLINK("http://www.openstreetmap.org/?mlat=35.2488&amp;mlon=43.5722&amp;zoom=12#map=12/35.2488/43.5722","Maplink1")</f>
        <v>Maplink1</v>
      </c>
      <c r="AX766" s="104" t="str">
        <f>HYPERLINK("https://www.google.iq/maps/search/+35.2488,43.5722/@35.2488,43.5722,14z?hl=en","Maplink2")</f>
        <v>Maplink2</v>
      </c>
      <c r="AY766" s="104" t="str">
        <f>HYPERLINK("http://www.bing.com/maps/?lvl=14&amp;sty=h&amp;cp=35.2488~43.5722&amp;sp=point.35.2488_43.5722","Maplink3")</f>
        <v>Maplink3</v>
      </c>
    </row>
    <row r="767" spans="1:51" x14ac:dyDescent="0.2">
      <c r="A767" s="102">
        <v>14686</v>
      </c>
      <c r="B767" s="103" t="s">
        <v>34</v>
      </c>
      <c r="C767" s="103" t="s">
        <v>95</v>
      </c>
      <c r="D767" s="103" t="s">
        <v>1550</v>
      </c>
      <c r="E767" s="103" t="s">
        <v>1551</v>
      </c>
      <c r="F767" s="103">
        <v>35.416179999999997</v>
      </c>
      <c r="G767" s="103">
        <v>43.720192753799999</v>
      </c>
      <c r="H767" s="102">
        <v>132</v>
      </c>
      <c r="I767" s="102">
        <v>792</v>
      </c>
      <c r="J767" s="103"/>
      <c r="K767" s="103"/>
      <c r="L767" s="103"/>
      <c r="M767" s="103">
        <v>132</v>
      </c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103"/>
      <c r="AA767" s="103"/>
      <c r="AB767" s="103"/>
      <c r="AC767" s="103">
        <v>116</v>
      </c>
      <c r="AD767" s="103"/>
      <c r="AE767" s="103"/>
      <c r="AF767" s="103"/>
      <c r="AG767" s="103">
        <v>3</v>
      </c>
      <c r="AH767" s="103"/>
      <c r="AI767" s="103">
        <v>13</v>
      </c>
      <c r="AJ767" s="103"/>
      <c r="AK767" s="103"/>
      <c r="AL767" s="103"/>
      <c r="AM767" s="103"/>
      <c r="AN767" s="103"/>
      <c r="AO767" s="103">
        <v>20</v>
      </c>
      <c r="AP767" s="103">
        <v>20</v>
      </c>
      <c r="AQ767" s="103">
        <v>5</v>
      </c>
      <c r="AR767" s="103">
        <v>22</v>
      </c>
      <c r="AS767" s="103">
        <v>30</v>
      </c>
      <c r="AT767" s="103">
        <v>35</v>
      </c>
      <c r="AU767" s="103"/>
      <c r="AV767" s="103"/>
      <c r="AW767" s="104" t="str">
        <f>HYPERLINK("http://www.openstreetmap.org/?mlat=35.4162&amp;mlon=43.7202&amp;zoom=12#map=12/35.4162/43.7202","Maplink1")</f>
        <v>Maplink1</v>
      </c>
      <c r="AX767" s="104" t="str">
        <f>HYPERLINK("https://www.google.iq/maps/search/+35.4162,43.7202/@35.4162,43.7202,14z?hl=en","Maplink2")</f>
        <v>Maplink2</v>
      </c>
      <c r="AY767" s="104" t="str">
        <f>HYPERLINK("http://www.bing.com/maps/?lvl=14&amp;sty=h&amp;cp=35.4162~43.7202&amp;sp=point.35.4162_43.7202","Maplink3")</f>
        <v>Maplink3</v>
      </c>
    </row>
    <row r="768" spans="1:51" x14ac:dyDescent="0.2">
      <c r="A768" s="102">
        <v>15190</v>
      </c>
      <c r="B768" s="103" t="s">
        <v>34</v>
      </c>
      <c r="C768" s="103" t="s">
        <v>95</v>
      </c>
      <c r="D768" s="103" t="s">
        <v>1552</v>
      </c>
      <c r="E768" s="103" t="s">
        <v>1553</v>
      </c>
      <c r="F768" s="103">
        <v>35.2605</v>
      </c>
      <c r="G768" s="103">
        <v>43.639499278700001</v>
      </c>
      <c r="H768" s="102">
        <v>105</v>
      </c>
      <c r="I768" s="102">
        <v>630</v>
      </c>
      <c r="J768" s="103"/>
      <c r="K768" s="103"/>
      <c r="L768" s="103"/>
      <c r="M768" s="103">
        <v>105</v>
      </c>
      <c r="N768" s="103"/>
      <c r="O768" s="103"/>
      <c r="P768" s="103"/>
      <c r="Q768" s="103"/>
      <c r="R768" s="103"/>
      <c r="S768" s="103"/>
      <c r="T768" s="103"/>
      <c r="U768" s="103"/>
      <c r="V768" s="103"/>
      <c r="W768" s="103"/>
      <c r="X768" s="103"/>
      <c r="Y768" s="103"/>
      <c r="Z768" s="103"/>
      <c r="AA768" s="103"/>
      <c r="AB768" s="103"/>
      <c r="AC768" s="103">
        <v>40</v>
      </c>
      <c r="AD768" s="103"/>
      <c r="AE768" s="103"/>
      <c r="AF768" s="103"/>
      <c r="AG768" s="103"/>
      <c r="AH768" s="103"/>
      <c r="AI768" s="103">
        <v>65</v>
      </c>
      <c r="AJ768" s="103"/>
      <c r="AK768" s="103"/>
      <c r="AL768" s="103"/>
      <c r="AM768" s="103"/>
      <c r="AN768" s="103">
        <v>5</v>
      </c>
      <c r="AO768" s="103">
        <v>10</v>
      </c>
      <c r="AP768" s="103">
        <v>5</v>
      </c>
      <c r="AQ768" s="103">
        <v>10</v>
      </c>
      <c r="AR768" s="103">
        <v>22</v>
      </c>
      <c r="AS768" s="103">
        <v>35</v>
      </c>
      <c r="AT768" s="103">
        <v>18</v>
      </c>
      <c r="AU768" s="103"/>
      <c r="AV768" s="103"/>
      <c r="AW768" s="104" t="str">
        <f>HYPERLINK("http://www.openstreetmap.org/?mlat=35.2605&amp;mlon=43.6395&amp;zoom=12#map=12/35.2605/43.6395","Maplink1")</f>
        <v>Maplink1</v>
      </c>
      <c r="AX768" s="104" t="str">
        <f>HYPERLINK("https://www.google.iq/maps/search/+35.2605,43.6395/@35.2605,43.6395,14z?hl=en","Maplink2")</f>
        <v>Maplink2</v>
      </c>
      <c r="AY768" s="104" t="str">
        <f>HYPERLINK("http://www.bing.com/maps/?lvl=14&amp;sty=h&amp;cp=35.2605~43.6395&amp;sp=point.35.2605_43.6395","Maplink3")</f>
        <v>Maplink3</v>
      </c>
    </row>
    <row r="769" spans="1:51" x14ac:dyDescent="0.2">
      <c r="A769" s="102">
        <v>15275</v>
      </c>
      <c r="B769" s="103" t="s">
        <v>34</v>
      </c>
      <c r="C769" s="103" t="s">
        <v>95</v>
      </c>
      <c r="D769" s="103" t="s">
        <v>1711</v>
      </c>
      <c r="E769" s="103" t="s">
        <v>1712</v>
      </c>
      <c r="F769" s="103">
        <v>35.275740410799997</v>
      </c>
      <c r="G769" s="103">
        <v>43.595646524099998</v>
      </c>
      <c r="H769" s="102">
        <v>1513</v>
      </c>
      <c r="I769" s="102">
        <v>9078</v>
      </c>
      <c r="J769" s="103"/>
      <c r="K769" s="103"/>
      <c r="L769" s="103"/>
      <c r="M769" s="103">
        <v>1513</v>
      </c>
      <c r="N769" s="103"/>
      <c r="O769" s="103"/>
      <c r="P769" s="103"/>
      <c r="Q769" s="103"/>
      <c r="R769" s="103"/>
      <c r="S769" s="103"/>
      <c r="T769" s="103"/>
      <c r="U769" s="103"/>
      <c r="V769" s="103"/>
      <c r="W769" s="103"/>
      <c r="X769" s="103"/>
      <c r="Y769" s="103"/>
      <c r="Z769" s="103"/>
      <c r="AA769" s="103"/>
      <c r="AB769" s="103"/>
      <c r="AC769" s="103">
        <v>1223</v>
      </c>
      <c r="AD769" s="103"/>
      <c r="AE769" s="103"/>
      <c r="AF769" s="103"/>
      <c r="AG769" s="103"/>
      <c r="AH769" s="103"/>
      <c r="AI769" s="103">
        <v>290</v>
      </c>
      <c r="AJ769" s="103"/>
      <c r="AK769" s="103"/>
      <c r="AL769" s="103"/>
      <c r="AM769" s="103"/>
      <c r="AN769" s="103">
        <v>101</v>
      </c>
      <c r="AO769" s="103">
        <v>75</v>
      </c>
      <c r="AP769" s="103">
        <v>155</v>
      </c>
      <c r="AQ769" s="103">
        <v>220</v>
      </c>
      <c r="AR769" s="103">
        <v>280</v>
      </c>
      <c r="AS769" s="103">
        <v>417</v>
      </c>
      <c r="AT769" s="103">
        <v>265</v>
      </c>
      <c r="AU769" s="103"/>
      <c r="AV769" s="103"/>
      <c r="AW769" s="104" t="str">
        <f>HYPERLINK("http://www.openstreetmap.org/?mlat=35.2757&amp;mlon=43.5956&amp;zoom=12#map=12/35.2757/43.5956","Maplink1")</f>
        <v>Maplink1</v>
      </c>
      <c r="AX769" s="104" t="str">
        <f>HYPERLINK("https://www.google.iq/maps/search/+35.2757,43.5956/@35.2757,43.5956,14z?hl=en","Maplink2")</f>
        <v>Maplink2</v>
      </c>
      <c r="AY769" s="104" t="str">
        <f>HYPERLINK("http://www.bing.com/maps/?lvl=14&amp;sty=h&amp;cp=35.2757~43.5956&amp;sp=point.35.2757_43.5956","Maplink3")</f>
        <v>Maplink3</v>
      </c>
    </row>
    <row r="770" spans="1:51" x14ac:dyDescent="0.2">
      <c r="A770" s="102">
        <v>15336</v>
      </c>
      <c r="B770" s="103" t="s">
        <v>34</v>
      </c>
      <c r="C770" s="103" t="s">
        <v>95</v>
      </c>
      <c r="D770" s="103" t="s">
        <v>1713</v>
      </c>
      <c r="E770" s="103" t="s">
        <v>1714</v>
      </c>
      <c r="F770" s="103">
        <v>35.374189999999999</v>
      </c>
      <c r="G770" s="103">
        <v>43.736233348799999</v>
      </c>
      <c r="H770" s="102">
        <v>102</v>
      </c>
      <c r="I770" s="102">
        <v>612</v>
      </c>
      <c r="J770" s="103"/>
      <c r="K770" s="103"/>
      <c r="L770" s="103"/>
      <c r="M770" s="103">
        <v>102</v>
      </c>
      <c r="N770" s="103"/>
      <c r="O770" s="103"/>
      <c r="P770" s="103"/>
      <c r="Q770" s="103"/>
      <c r="R770" s="103"/>
      <c r="S770" s="103"/>
      <c r="T770" s="103"/>
      <c r="U770" s="103"/>
      <c r="V770" s="103"/>
      <c r="W770" s="103"/>
      <c r="X770" s="103"/>
      <c r="Y770" s="103"/>
      <c r="Z770" s="103"/>
      <c r="AA770" s="103"/>
      <c r="AB770" s="103"/>
      <c r="AC770" s="103">
        <v>90</v>
      </c>
      <c r="AD770" s="103"/>
      <c r="AE770" s="103"/>
      <c r="AF770" s="103"/>
      <c r="AG770" s="103"/>
      <c r="AH770" s="103"/>
      <c r="AI770" s="103">
        <v>12</v>
      </c>
      <c r="AJ770" s="103"/>
      <c r="AK770" s="103"/>
      <c r="AL770" s="103"/>
      <c r="AM770" s="103"/>
      <c r="AN770" s="103">
        <v>5</v>
      </c>
      <c r="AO770" s="103">
        <v>10</v>
      </c>
      <c r="AP770" s="103">
        <v>2</v>
      </c>
      <c r="AQ770" s="103">
        <v>10</v>
      </c>
      <c r="AR770" s="103">
        <v>35</v>
      </c>
      <c r="AS770" s="103">
        <v>20</v>
      </c>
      <c r="AT770" s="103">
        <v>20</v>
      </c>
      <c r="AU770" s="103"/>
      <c r="AV770" s="103"/>
      <c r="AW770" s="104" t="str">
        <f>HYPERLINK("http://www.openstreetmap.org/?mlat=35.3742&amp;mlon=43.7362&amp;zoom=12#map=12/35.3742/43.7362","Maplink1")</f>
        <v>Maplink1</v>
      </c>
      <c r="AX770" s="104" t="str">
        <f>HYPERLINK("https://www.google.iq/maps/search/+35.3742,43.7362/@35.3742,43.7362,14z?hl=en","Maplink2")</f>
        <v>Maplink2</v>
      </c>
      <c r="AY770" s="104" t="str">
        <f>HYPERLINK("http://www.bing.com/maps/?lvl=14&amp;sty=h&amp;cp=35.3742~43.7362&amp;sp=point.35.3742_43.7362","Maplink3")</f>
        <v>Maplink3</v>
      </c>
    </row>
    <row r="771" spans="1:51" x14ac:dyDescent="0.2">
      <c r="A771" s="102">
        <v>15204</v>
      </c>
      <c r="B771" s="103" t="s">
        <v>34</v>
      </c>
      <c r="C771" s="103" t="s">
        <v>95</v>
      </c>
      <c r="D771" s="103" t="s">
        <v>1715</v>
      </c>
      <c r="E771" s="103" t="s">
        <v>1716</v>
      </c>
      <c r="F771" s="103">
        <v>35.247100000000003</v>
      </c>
      <c r="G771" s="103">
        <v>43.846879370499998</v>
      </c>
      <c r="H771" s="102">
        <v>31</v>
      </c>
      <c r="I771" s="102">
        <v>186</v>
      </c>
      <c r="J771" s="103"/>
      <c r="K771" s="103"/>
      <c r="L771" s="103"/>
      <c r="M771" s="103">
        <v>26</v>
      </c>
      <c r="N771" s="103">
        <v>5</v>
      </c>
      <c r="O771" s="103"/>
      <c r="P771" s="103"/>
      <c r="Q771" s="103"/>
      <c r="R771" s="103"/>
      <c r="S771" s="103"/>
      <c r="T771" s="103"/>
      <c r="U771" s="103"/>
      <c r="V771" s="103"/>
      <c r="W771" s="103"/>
      <c r="X771" s="103"/>
      <c r="Y771" s="103"/>
      <c r="Z771" s="103"/>
      <c r="AA771" s="103"/>
      <c r="AB771" s="103"/>
      <c r="AC771" s="103">
        <v>31</v>
      </c>
      <c r="AD771" s="103"/>
      <c r="AE771" s="103"/>
      <c r="AF771" s="103"/>
      <c r="AG771" s="103"/>
      <c r="AH771" s="103"/>
      <c r="AI771" s="103"/>
      <c r="AJ771" s="103"/>
      <c r="AK771" s="103"/>
      <c r="AL771" s="103"/>
      <c r="AM771" s="103"/>
      <c r="AN771" s="103"/>
      <c r="AO771" s="103">
        <v>5</v>
      </c>
      <c r="AP771" s="103">
        <v>10</v>
      </c>
      <c r="AQ771" s="103">
        <v>5</v>
      </c>
      <c r="AR771" s="103">
        <v>5</v>
      </c>
      <c r="AS771" s="103">
        <v>6</v>
      </c>
      <c r="AT771" s="103"/>
      <c r="AU771" s="103"/>
      <c r="AV771" s="103"/>
      <c r="AW771" s="104" t="str">
        <f>HYPERLINK("http://www.openstreetmap.org/?mlat=35.2471&amp;mlon=43.8469&amp;zoom=12#map=12/35.2471/43.8469","Maplink1")</f>
        <v>Maplink1</v>
      </c>
      <c r="AX771" s="104" t="str">
        <f>HYPERLINK("https://www.google.iq/maps/search/+35.2471,43.8469/@35.2471,43.8469,14z?hl=en","Maplink2")</f>
        <v>Maplink2</v>
      </c>
      <c r="AY771" s="104" t="str">
        <f>HYPERLINK("http://www.bing.com/maps/?lvl=14&amp;sty=h&amp;cp=35.2471~43.8469&amp;sp=point.35.2471_43.8469","Maplink3")</f>
        <v>Maplink3</v>
      </c>
    </row>
    <row r="772" spans="1:51" x14ac:dyDescent="0.2">
      <c r="A772" s="102">
        <v>14883</v>
      </c>
      <c r="B772" s="103" t="s">
        <v>34</v>
      </c>
      <c r="C772" s="103" t="s">
        <v>95</v>
      </c>
      <c r="D772" s="103" t="s">
        <v>1717</v>
      </c>
      <c r="E772" s="103" t="s">
        <v>1718</v>
      </c>
      <c r="F772" s="103">
        <v>35.283149999999999</v>
      </c>
      <c r="G772" s="103">
        <v>43.855097851300002</v>
      </c>
      <c r="H772" s="102">
        <v>108</v>
      </c>
      <c r="I772" s="102">
        <v>648</v>
      </c>
      <c r="J772" s="103"/>
      <c r="K772" s="103"/>
      <c r="L772" s="103"/>
      <c r="M772" s="103">
        <v>98</v>
      </c>
      <c r="N772" s="103">
        <v>10</v>
      </c>
      <c r="O772" s="103"/>
      <c r="P772" s="103"/>
      <c r="Q772" s="103"/>
      <c r="R772" s="103"/>
      <c r="S772" s="103"/>
      <c r="T772" s="103"/>
      <c r="U772" s="103"/>
      <c r="V772" s="103"/>
      <c r="W772" s="103"/>
      <c r="X772" s="103"/>
      <c r="Y772" s="103"/>
      <c r="Z772" s="103"/>
      <c r="AA772" s="103"/>
      <c r="AB772" s="103"/>
      <c r="AC772" s="103">
        <v>108</v>
      </c>
      <c r="AD772" s="103"/>
      <c r="AE772" s="103"/>
      <c r="AF772" s="103"/>
      <c r="AG772" s="103"/>
      <c r="AH772" s="103"/>
      <c r="AI772" s="103"/>
      <c r="AJ772" s="103"/>
      <c r="AK772" s="103"/>
      <c r="AL772" s="103"/>
      <c r="AM772" s="103"/>
      <c r="AN772" s="103"/>
      <c r="AO772" s="103">
        <v>5</v>
      </c>
      <c r="AP772" s="103">
        <v>25</v>
      </c>
      <c r="AQ772" s="103">
        <v>20</v>
      </c>
      <c r="AR772" s="103">
        <v>35</v>
      </c>
      <c r="AS772" s="103">
        <v>23</v>
      </c>
      <c r="AT772" s="103"/>
      <c r="AU772" s="103"/>
      <c r="AV772" s="103"/>
      <c r="AW772" s="104" t="str">
        <f>HYPERLINK("http://www.openstreetmap.org/?mlat=35.2831&amp;mlon=43.8551&amp;zoom=12#map=12/35.2831/43.8551","Maplink1")</f>
        <v>Maplink1</v>
      </c>
      <c r="AX772" s="104" t="str">
        <f>HYPERLINK("https://www.google.iq/maps/search/+35.2831,43.8551/@35.2831,43.8551,14z?hl=en","Maplink2")</f>
        <v>Maplink2</v>
      </c>
      <c r="AY772" s="104" t="str">
        <f>HYPERLINK("http://www.bing.com/maps/?lvl=14&amp;sty=h&amp;cp=35.2831~43.8551&amp;sp=point.35.2831_43.8551","Maplink3")</f>
        <v>Maplink3</v>
      </c>
    </row>
    <row r="773" spans="1:51" x14ac:dyDescent="0.2">
      <c r="A773" s="102">
        <v>15276</v>
      </c>
      <c r="B773" s="103" t="s">
        <v>34</v>
      </c>
      <c r="C773" s="103" t="s">
        <v>95</v>
      </c>
      <c r="D773" s="103" t="s">
        <v>1719</v>
      </c>
      <c r="E773" s="103" t="s">
        <v>1720</v>
      </c>
      <c r="F773" s="103">
        <v>35.329859999999996</v>
      </c>
      <c r="G773" s="103">
        <v>43.783908590499998</v>
      </c>
      <c r="H773" s="102">
        <v>283</v>
      </c>
      <c r="I773" s="102">
        <v>1698</v>
      </c>
      <c r="J773" s="103"/>
      <c r="K773" s="103"/>
      <c r="L773" s="103"/>
      <c r="M773" s="103">
        <v>283</v>
      </c>
      <c r="N773" s="103"/>
      <c r="O773" s="103"/>
      <c r="P773" s="103"/>
      <c r="Q773" s="103"/>
      <c r="R773" s="103"/>
      <c r="S773" s="103"/>
      <c r="T773" s="103"/>
      <c r="U773" s="103"/>
      <c r="V773" s="103"/>
      <c r="W773" s="103"/>
      <c r="X773" s="103"/>
      <c r="Y773" s="103"/>
      <c r="Z773" s="103"/>
      <c r="AA773" s="103"/>
      <c r="AB773" s="103"/>
      <c r="AC773" s="103">
        <v>268</v>
      </c>
      <c r="AD773" s="103"/>
      <c r="AE773" s="103"/>
      <c r="AF773" s="103"/>
      <c r="AG773" s="103"/>
      <c r="AH773" s="103"/>
      <c r="AI773" s="103">
        <v>15</v>
      </c>
      <c r="AJ773" s="103"/>
      <c r="AK773" s="103"/>
      <c r="AL773" s="103"/>
      <c r="AM773" s="103"/>
      <c r="AN773" s="103">
        <v>15</v>
      </c>
      <c r="AO773" s="103">
        <v>30</v>
      </c>
      <c r="AP773" s="103">
        <v>45</v>
      </c>
      <c r="AQ773" s="103">
        <v>50</v>
      </c>
      <c r="AR773" s="103">
        <v>50</v>
      </c>
      <c r="AS773" s="103">
        <v>55</v>
      </c>
      <c r="AT773" s="103">
        <v>38</v>
      </c>
      <c r="AU773" s="103"/>
      <c r="AV773" s="103"/>
      <c r="AW773" s="104" t="str">
        <f>HYPERLINK("http://www.openstreetmap.org/?mlat=35.3299&amp;mlon=43.7839&amp;zoom=12#map=12/35.3299/43.7839","Maplink1")</f>
        <v>Maplink1</v>
      </c>
      <c r="AX773" s="104" t="str">
        <f>HYPERLINK("https://www.google.iq/maps/search/+35.3299,43.7839/@35.3299,43.7839,14z?hl=en","Maplink2")</f>
        <v>Maplink2</v>
      </c>
      <c r="AY773" s="104" t="str">
        <f>HYPERLINK("http://www.bing.com/maps/?lvl=14&amp;sty=h&amp;cp=35.3299~43.7839&amp;sp=point.35.3299_43.7839","Maplink3")</f>
        <v>Maplink3</v>
      </c>
    </row>
    <row r="774" spans="1:51" x14ac:dyDescent="0.2">
      <c r="A774" s="102">
        <v>23659</v>
      </c>
      <c r="B774" s="103" t="s">
        <v>34</v>
      </c>
      <c r="C774" s="103" t="s">
        <v>95</v>
      </c>
      <c r="D774" s="103" t="s">
        <v>1721</v>
      </c>
      <c r="E774" s="103" t="s">
        <v>1722</v>
      </c>
      <c r="F774" s="103">
        <v>35.33784</v>
      </c>
      <c r="G774" s="103">
        <v>43.797620071600001</v>
      </c>
      <c r="H774" s="102">
        <v>50</v>
      </c>
      <c r="I774" s="102">
        <v>300</v>
      </c>
      <c r="J774" s="103"/>
      <c r="K774" s="103"/>
      <c r="L774" s="103"/>
      <c r="M774" s="103">
        <v>50</v>
      </c>
      <c r="N774" s="103"/>
      <c r="O774" s="103"/>
      <c r="P774" s="103"/>
      <c r="Q774" s="103"/>
      <c r="R774" s="103"/>
      <c r="S774" s="103"/>
      <c r="T774" s="103"/>
      <c r="U774" s="103"/>
      <c r="V774" s="103"/>
      <c r="W774" s="103"/>
      <c r="X774" s="103"/>
      <c r="Y774" s="103"/>
      <c r="Z774" s="103"/>
      <c r="AA774" s="103"/>
      <c r="AB774" s="103"/>
      <c r="AC774" s="103">
        <v>49</v>
      </c>
      <c r="AD774" s="103"/>
      <c r="AE774" s="103"/>
      <c r="AF774" s="103"/>
      <c r="AG774" s="103"/>
      <c r="AH774" s="103"/>
      <c r="AI774" s="103">
        <v>1</v>
      </c>
      <c r="AJ774" s="103"/>
      <c r="AK774" s="103"/>
      <c r="AL774" s="103"/>
      <c r="AM774" s="103">
        <v>3</v>
      </c>
      <c r="AN774" s="103">
        <v>4</v>
      </c>
      <c r="AO774" s="103">
        <v>5</v>
      </c>
      <c r="AP774" s="103">
        <v>8</v>
      </c>
      <c r="AQ774" s="103">
        <v>10</v>
      </c>
      <c r="AR774" s="103">
        <v>15</v>
      </c>
      <c r="AS774" s="103">
        <v>5</v>
      </c>
      <c r="AT774" s="103"/>
      <c r="AU774" s="103"/>
      <c r="AV774" s="103"/>
      <c r="AW774" s="104" t="str">
        <f>HYPERLINK("http://www.openstreetmap.org/?mlat=35.3378&amp;mlon=43.7976&amp;zoom=12#map=12/35.3378/43.7976","Maplink1")</f>
        <v>Maplink1</v>
      </c>
      <c r="AX774" s="104" t="str">
        <f>HYPERLINK("https://www.google.iq/maps/search/+35.3378,43.7976/@35.3378,43.7976,14z?hl=en","Maplink2")</f>
        <v>Maplink2</v>
      </c>
      <c r="AY774" s="104" t="str">
        <f>HYPERLINK("http://www.bing.com/maps/?lvl=14&amp;sty=h&amp;cp=35.3378~43.7976&amp;sp=point.35.3378_43.7976","Maplink3")</f>
        <v>Maplink3</v>
      </c>
    </row>
    <row r="775" spans="1:51" x14ac:dyDescent="0.2">
      <c r="A775" s="102">
        <v>15305</v>
      </c>
      <c r="B775" s="103" t="s">
        <v>34</v>
      </c>
      <c r="C775" s="103" t="s">
        <v>95</v>
      </c>
      <c r="D775" s="103" t="s">
        <v>1778</v>
      </c>
      <c r="E775" s="103" t="s">
        <v>1779</v>
      </c>
      <c r="F775" s="103">
        <v>35.349539999999998</v>
      </c>
      <c r="G775" s="103">
        <v>43.702915085999997</v>
      </c>
      <c r="H775" s="102">
        <v>68</v>
      </c>
      <c r="I775" s="102">
        <v>408</v>
      </c>
      <c r="J775" s="103"/>
      <c r="K775" s="103"/>
      <c r="L775" s="103"/>
      <c r="M775" s="103">
        <v>68</v>
      </c>
      <c r="N775" s="103"/>
      <c r="O775" s="103"/>
      <c r="P775" s="103"/>
      <c r="Q775" s="103"/>
      <c r="R775" s="103"/>
      <c r="S775" s="103"/>
      <c r="T775" s="103"/>
      <c r="U775" s="103"/>
      <c r="V775" s="103"/>
      <c r="W775" s="103"/>
      <c r="X775" s="103"/>
      <c r="Y775" s="103"/>
      <c r="Z775" s="103"/>
      <c r="AA775" s="103"/>
      <c r="AB775" s="103"/>
      <c r="AC775" s="103">
        <v>68</v>
      </c>
      <c r="AD775" s="103"/>
      <c r="AE775" s="103"/>
      <c r="AF775" s="103"/>
      <c r="AG775" s="103"/>
      <c r="AH775" s="103"/>
      <c r="AI775" s="103"/>
      <c r="AJ775" s="103"/>
      <c r="AK775" s="103"/>
      <c r="AL775" s="103"/>
      <c r="AM775" s="103"/>
      <c r="AN775" s="103"/>
      <c r="AO775" s="103">
        <v>5</v>
      </c>
      <c r="AP775" s="103">
        <v>16</v>
      </c>
      <c r="AQ775" s="103">
        <v>2</v>
      </c>
      <c r="AR775" s="103">
        <v>15</v>
      </c>
      <c r="AS775" s="103">
        <v>25</v>
      </c>
      <c r="AT775" s="103">
        <v>5</v>
      </c>
      <c r="AU775" s="103"/>
      <c r="AV775" s="103"/>
      <c r="AW775" s="104" t="str">
        <f>HYPERLINK("http://www.openstreetmap.org/?mlat=35.3495&amp;mlon=43.7029&amp;zoom=12#map=12/35.3495/43.7029","Maplink1")</f>
        <v>Maplink1</v>
      </c>
      <c r="AX775" s="104" t="str">
        <f>HYPERLINK("https://www.google.iq/maps/search/+35.3495,43.7029/@35.3495,43.7029,14z?hl=en","Maplink2")</f>
        <v>Maplink2</v>
      </c>
      <c r="AY775" s="104" t="str">
        <f>HYPERLINK("http://www.bing.com/maps/?lvl=14&amp;sty=h&amp;cp=35.3495~43.7029&amp;sp=point.35.3495_43.7029","Maplink3")</f>
        <v>Maplink3</v>
      </c>
    </row>
    <row r="776" spans="1:51" x14ac:dyDescent="0.2">
      <c r="A776" s="102">
        <v>15250</v>
      </c>
      <c r="B776" s="103" t="s">
        <v>34</v>
      </c>
      <c r="C776" s="103" t="s">
        <v>95</v>
      </c>
      <c r="D776" s="103" t="s">
        <v>1780</v>
      </c>
      <c r="E776" s="103" t="s">
        <v>1781</v>
      </c>
      <c r="F776" s="103">
        <v>35.308300000000003</v>
      </c>
      <c r="G776" s="103">
        <v>43.593330628300002</v>
      </c>
      <c r="H776" s="102">
        <v>319</v>
      </c>
      <c r="I776" s="102">
        <v>1914</v>
      </c>
      <c r="J776" s="103"/>
      <c r="K776" s="103"/>
      <c r="L776" s="103"/>
      <c r="M776" s="103">
        <v>319</v>
      </c>
      <c r="N776" s="103"/>
      <c r="O776" s="103"/>
      <c r="P776" s="103"/>
      <c r="Q776" s="103"/>
      <c r="R776" s="103"/>
      <c r="S776" s="103"/>
      <c r="T776" s="103"/>
      <c r="U776" s="103"/>
      <c r="V776" s="103"/>
      <c r="W776" s="103"/>
      <c r="X776" s="103"/>
      <c r="Y776" s="103"/>
      <c r="Z776" s="103"/>
      <c r="AA776" s="103"/>
      <c r="AB776" s="103"/>
      <c r="AC776" s="103">
        <v>266</v>
      </c>
      <c r="AD776" s="103"/>
      <c r="AE776" s="103"/>
      <c r="AF776" s="103"/>
      <c r="AG776" s="103"/>
      <c r="AH776" s="103"/>
      <c r="AI776" s="103">
        <v>53</v>
      </c>
      <c r="AJ776" s="103"/>
      <c r="AK776" s="103"/>
      <c r="AL776" s="103"/>
      <c r="AM776" s="103"/>
      <c r="AN776" s="103">
        <v>10</v>
      </c>
      <c r="AO776" s="103">
        <v>25</v>
      </c>
      <c r="AP776" s="103">
        <v>30</v>
      </c>
      <c r="AQ776" s="103">
        <v>44</v>
      </c>
      <c r="AR776" s="103">
        <v>65</v>
      </c>
      <c r="AS776" s="103">
        <v>85</v>
      </c>
      <c r="AT776" s="103">
        <v>60</v>
      </c>
      <c r="AU776" s="103"/>
      <c r="AV776" s="103"/>
      <c r="AW776" s="104" t="str">
        <f>HYPERLINK("http://www.openstreetmap.org/?mlat=35.3083&amp;mlon=43.5933&amp;zoom=12#map=12/35.3083/43.5933","Maplink1")</f>
        <v>Maplink1</v>
      </c>
      <c r="AX776" s="104" t="str">
        <f>HYPERLINK("https://www.google.iq/maps/search/+35.3083,43.5933/@35.3083,43.5933,14z?hl=en","Maplink2")</f>
        <v>Maplink2</v>
      </c>
      <c r="AY776" s="104" t="str">
        <f>HYPERLINK("http://www.bing.com/maps/?lvl=14&amp;sty=h&amp;cp=35.3083~43.5933&amp;sp=point.35.3083_43.5933","Maplink3")</f>
        <v>Maplink3</v>
      </c>
    </row>
    <row r="777" spans="1:51" x14ac:dyDescent="0.2">
      <c r="A777" s="102">
        <v>33454</v>
      </c>
      <c r="B777" s="103" t="s">
        <v>34</v>
      </c>
      <c r="C777" s="103" t="s">
        <v>95</v>
      </c>
      <c r="D777" s="103" t="s">
        <v>1782</v>
      </c>
      <c r="E777" s="103" t="s">
        <v>1783</v>
      </c>
      <c r="F777" s="103">
        <v>35.396340000000002</v>
      </c>
      <c r="G777" s="103">
        <v>43.767188251199997</v>
      </c>
      <c r="H777" s="102">
        <v>24</v>
      </c>
      <c r="I777" s="102">
        <v>144</v>
      </c>
      <c r="J777" s="103"/>
      <c r="K777" s="103"/>
      <c r="L777" s="103"/>
      <c r="M777" s="103">
        <v>24</v>
      </c>
      <c r="N777" s="103"/>
      <c r="O777" s="103"/>
      <c r="P777" s="103"/>
      <c r="Q777" s="103"/>
      <c r="R777" s="103"/>
      <c r="S777" s="103"/>
      <c r="T777" s="103"/>
      <c r="U777" s="103"/>
      <c r="V777" s="103"/>
      <c r="W777" s="103"/>
      <c r="X777" s="103"/>
      <c r="Y777" s="103"/>
      <c r="Z777" s="103"/>
      <c r="AA777" s="103"/>
      <c r="AB777" s="103"/>
      <c r="AC777" s="103">
        <v>24</v>
      </c>
      <c r="AD777" s="103"/>
      <c r="AE777" s="103"/>
      <c r="AF777" s="103"/>
      <c r="AG777" s="103"/>
      <c r="AH777" s="103"/>
      <c r="AI777" s="103"/>
      <c r="AJ777" s="103"/>
      <c r="AK777" s="103"/>
      <c r="AL777" s="103"/>
      <c r="AM777" s="103"/>
      <c r="AN777" s="103"/>
      <c r="AO777" s="103"/>
      <c r="AP777" s="103">
        <v>3</v>
      </c>
      <c r="AQ777" s="103">
        <v>5</v>
      </c>
      <c r="AR777" s="103">
        <v>6</v>
      </c>
      <c r="AS777" s="103">
        <v>10</v>
      </c>
      <c r="AT777" s="103"/>
      <c r="AU777" s="103"/>
      <c r="AV777" s="103"/>
      <c r="AW777" s="104" t="str">
        <f>HYPERLINK("http://www.openstreetmap.org/?mlat=35.3963&amp;mlon=43.7672&amp;zoom=12#map=12/35.3963/43.7672","Maplink1")</f>
        <v>Maplink1</v>
      </c>
      <c r="AX777" s="104" t="str">
        <f>HYPERLINK("https://www.google.iq/maps/search/+35.3963,43.7672/@35.3963,43.7672,14z?hl=en","Maplink2")</f>
        <v>Maplink2</v>
      </c>
      <c r="AY777" s="104" t="str">
        <f>HYPERLINK("http://www.bing.com/maps/?lvl=14&amp;sty=h&amp;cp=35.3963~43.7672&amp;sp=point.35.3963_43.7672","Maplink3")</f>
        <v>Maplink3</v>
      </c>
    </row>
    <row r="778" spans="1:51" x14ac:dyDescent="0.2">
      <c r="A778" s="102">
        <v>33691</v>
      </c>
      <c r="B778" s="103" t="s">
        <v>34</v>
      </c>
      <c r="C778" s="103" t="s">
        <v>95</v>
      </c>
      <c r="D778" s="103" t="s">
        <v>1784</v>
      </c>
      <c r="E778" s="103" t="s">
        <v>1785</v>
      </c>
      <c r="F778" s="103">
        <v>35.351272299999998</v>
      </c>
      <c r="G778" s="103">
        <v>44.048415437800003</v>
      </c>
      <c r="H778" s="102">
        <v>50</v>
      </c>
      <c r="I778" s="102">
        <v>300</v>
      </c>
      <c r="J778" s="103"/>
      <c r="K778" s="103"/>
      <c r="L778" s="103"/>
      <c r="M778" s="103">
        <v>40</v>
      </c>
      <c r="N778" s="103">
        <v>10</v>
      </c>
      <c r="O778" s="103"/>
      <c r="P778" s="103"/>
      <c r="Q778" s="103"/>
      <c r="R778" s="103"/>
      <c r="S778" s="103"/>
      <c r="T778" s="103"/>
      <c r="U778" s="103"/>
      <c r="V778" s="103"/>
      <c r="W778" s="103"/>
      <c r="X778" s="103"/>
      <c r="Y778" s="103"/>
      <c r="Z778" s="103"/>
      <c r="AA778" s="103"/>
      <c r="AB778" s="103"/>
      <c r="AC778" s="103">
        <v>50</v>
      </c>
      <c r="AD778" s="103"/>
      <c r="AE778" s="103"/>
      <c r="AF778" s="103"/>
      <c r="AG778" s="103"/>
      <c r="AH778" s="103"/>
      <c r="AI778" s="103"/>
      <c r="AJ778" s="103"/>
      <c r="AK778" s="103"/>
      <c r="AL778" s="103"/>
      <c r="AM778" s="103"/>
      <c r="AN778" s="103"/>
      <c r="AO778" s="103"/>
      <c r="AP778" s="103">
        <v>10</v>
      </c>
      <c r="AQ778" s="103">
        <v>20</v>
      </c>
      <c r="AR778" s="103">
        <v>20</v>
      </c>
      <c r="AS778" s="103"/>
      <c r="AT778" s="103"/>
      <c r="AU778" s="103"/>
      <c r="AV778" s="103"/>
      <c r="AW778" s="104" t="str">
        <f>HYPERLINK("http://www.openstreetmap.org/?mlat=35.3513&amp;mlon=44.0484&amp;zoom=12#map=12/35.3513/44.0484","Maplink1")</f>
        <v>Maplink1</v>
      </c>
      <c r="AX778" s="104" t="str">
        <f>HYPERLINK("https://www.google.iq/maps/search/+35.3513,44.0484/@35.3513,44.0484,14z?hl=en","Maplink2")</f>
        <v>Maplink2</v>
      </c>
      <c r="AY778" s="104" t="str">
        <f>HYPERLINK("http://www.bing.com/maps/?lvl=14&amp;sty=h&amp;cp=35.3513~44.0484&amp;sp=point.35.3513_44.0484","Maplink3")</f>
        <v>Maplink3</v>
      </c>
    </row>
    <row r="779" spans="1:51" x14ac:dyDescent="0.2">
      <c r="A779" s="102">
        <v>15308</v>
      </c>
      <c r="B779" s="103" t="s">
        <v>34</v>
      </c>
      <c r="C779" s="103" t="s">
        <v>95</v>
      </c>
      <c r="D779" s="103" t="s">
        <v>1575</v>
      </c>
      <c r="E779" s="103" t="s">
        <v>1576</v>
      </c>
      <c r="F779" s="103">
        <v>35.355870000000003</v>
      </c>
      <c r="G779" s="103">
        <v>43.725523633100003</v>
      </c>
      <c r="H779" s="102">
        <v>49</v>
      </c>
      <c r="I779" s="102">
        <v>294</v>
      </c>
      <c r="J779" s="103"/>
      <c r="K779" s="103"/>
      <c r="L779" s="103"/>
      <c r="M779" s="103">
        <v>49</v>
      </c>
      <c r="N779" s="103"/>
      <c r="O779" s="103"/>
      <c r="P779" s="103"/>
      <c r="Q779" s="103"/>
      <c r="R779" s="103"/>
      <c r="S779" s="103"/>
      <c r="T779" s="103"/>
      <c r="U779" s="103"/>
      <c r="V779" s="103"/>
      <c r="W779" s="103"/>
      <c r="X779" s="103"/>
      <c r="Y779" s="103"/>
      <c r="Z779" s="103"/>
      <c r="AA779" s="103"/>
      <c r="AB779" s="103"/>
      <c r="AC779" s="103">
        <v>47</v>
      </c>
      <c r="AD779" s="103"/>
      <c r="AE779" s="103"/>
      <c r="AF779" s="103"/>
      <c r="AG779" s="103"/>
      <c r="AH779" s="103"/>
      <c r="AI779" s="103">
        <v>2</v>
      </c>
      <c r="AJ779" s="103"/>
      <c r="AK779" s="103"/>
      <c r="AL779" s="103"/>
      <c r="AM779" s="103"/>
      <c r="AN779" s="103">
        <v>5</v>
      </c>
      <c r="AO779" s="103"/>
      <c r="AP779" s="103"/>
      <c r="AQ779" s="103">
        <v>13</v>
      </c>
      <c r="AR779" s="103">
        <v>1</v>
      </c>
      <c r="AS779" s="103">
        <v>20</v>
      </c>
      <c r="AT779" s="103">
        <v>10</v>
      </c>
      <c r="AU779" s="103"/>
      <c r="AV779" s="103"/>
      <c r="AW779" s="104" t="str">
        <f>HYPERLINK("http://www.openstreetmap.org/?mlat=35.3559&amp;mlon=43.7255&amp;zoom=12#map=12/35.3559/43.7255","Maplink1")</f>
        <v>Maplink1</v>
      </c>
      <c r="AX779" s="104" t="str">
        <f>HYPERLINK("https://www.google.iq/maps/search/+35.3559,43.7255/@35.3559,43.7255,14z?hl=en","Maplink2")</f>
        <v>Maplink2</v>
      </c>
      <c r="AY779" s="104" t="str">
        <f>HYPERLINK("http://www.bing.com/maps/?lvl=14&amp;sty=h&amp;cp=35.3559~43.7255&amp;sp=point.35.3559_43.7255","Maplink3")</f>
        <v>Maplink3</v>
      </c>
    </row>
    <row r="780" spans="1:51" x14ac:dyDescent="0.2">
      <c r="A780" s="102">
        <v>14993</v>
      </c>
      <c r="B780" s="103" t="s">
        <v>34</v>
      </c>
      <c r="C780" s="103" t="s">
        <v>95</v>
      </c>
      <c r="D780" s="103" t="s">
        <v>1577</v>
      </c>
      <c r="E780" s="103" t="s">
        <v>1578</v>
      </c>
      <c r="F780" s="103">
        <v>35.310029999999998</v>
      </c>
      <c r="G780" s="103">
        <v>43.663862256500003</v>
      </c>
      <c r="H780" s="102">
        <v>235</v>
      </c>
      <c r="I780" s="102">
        <v>1410</v>
      </c>
      <c r="J780" s="103"/>
      <c r="K780" s="103"/>
      <c r="L780" s="103"/>
      <c r="M780" s="103">
        <v>235</v>
      </c>
      <c r="N780" s="103"/>
      <c r="O780" s="103"/>
      <c r="P780" s="103"/>
      <c r="Q780" s="103"/>
      <c r="R780" s="103"/>
      <c r="S780" s="103"/>
      <c r="T780" s="103"/>
      <c r="U780" s="103"/>
      <c r="V780" s="103"/>
      <c r="W780" s="103"/>
      <c r="X780" s="103"/>
      <c r="Y780" s="103"/>
      <c r="Z780" s="103"/>
      <c r="AA780" s="103"/>
      <c r="AB780" s="103"/>
      <c r="AC780" s="103">
        <v>220</v>
      </c>
      <c r="AD780" s="103"/>
      <c r="AE780" s="103"/>
      <c r="AF780" s="103"/>
      <c r="AG780" s="103"/>
      <c r="AH780" s="103"/>
      <c r="AI780" s="103">
        <v>15</v>
      </c>
      <c r="AJ780" s="103"/>
      <c r="AK780" s="103"/>
      <c r="AL780" s="103"/>
      <c r="AM780" s="103"/>
      <c r="AN780" s="103">
        <v>10</v>
      </c>
      <c r="AO780" s="103">
        <v>20</v>
      </c>
      <c r="AP780" s="103">
        <v>25</v>
      </c>
      <c r="AQ780" s="103">
        <v>40</v>
      </c>
      <c r="AR780" s="103">
        <v>35</v>
      </c>
      <c r="AS780" s="103">
        <v>70</v>
      </c>
      <c r="AT780" s="103">
        <v>35</v>
      </c>
      <c r="AU780" s="103"/>
      <c r="AV780" s="103"/>
      <c r="AW780" s="104" t="str">
        <f>HYPERLINK("http://www.openstreetmap.org/?mlat=35.31&amp;mlon=43.6639&amp;zoom=12#map=12/35.31/43.6639","Maplink1")</f>
        <v>Maplink1</v>
      </c>
      <c r="AX780" s="104" t="str">
        <f>HYPERLINK("https://www.google.iq/maps/search/+35.31,43.6639/@35.31,43.6639,14z?hl=en","Maplink2")</f>
        <v>Maplink2</v>
      </c>
      <c r="AY780" s="104" t="str">
        <f>HYPERLINK("http://www.bing.com/maps/?lvl=14&amp;sty=h&amp;cp=35.31~43.6639&amp;sp=point.35.31_43.6639","Maplink3")</f>
        <v>Maplink3</v>
      </c>
    </row>
    <row r="781" spans="1:51" x14ac:dyDescent="0.2">
      <c r="A781" s="102">
        <v>33229</v>
      </c>
      <c r="B781" s="103" t="s">
        <v>34</v>
      </c>
      <c r="C781" s="103" t="s">
        <v>95</v>
      </c>
      <c r="D781" s="103" t="s">
        <v>1579</v>
      </c>
      <c r="E781" s="103" t="s">
        <v>1580</v>
      </c>
      <c r="F781" s="103">
        <v>35.344799999999999</v>
      </c>
      <c r="G781" s="103">
        <v>43.7361453002</v>
      </c>
      <c r="H781" s="102">
        <v>70</v>
      </c>
      <c r="I781" s="102">
        <v>420</v>
      </c>
      <c r="J781" s="103"/>
      <c r="K781" s="103"/>
      <c r="L781" s="103"/>
      <c r="M781" s="103">
        <v>70</v>
      </c>
      <c r="N781" s="103"/>
      <c r="O781" s="103"/>
      <c r="P781" s="103"/>
      <c r="Q781" s="103"/>
      <c r="R781" s="103"/>
      <c r="S781" s="103"/>
      <c r="T781" s="103"/>
      <c r="U781" s="103"/>
      <c r="V781" s="103"/>
      <c r="W781" s="103"/>
      <c r="X781" s="103"/>
      <c r="Y781" s="103"/>
      <c r="Z781" s="103"/>
      <c r="AA781" s="103"/>
      <c r="AB781" s="103"/>
      <c r="AC781" s="103">
        <v>63</v>
      </c>
      <c r="AD781" s="103"/>
      <c r="AE781" s="103"/>
      <c r="AF781" s="103"/>
      <c r="AG781" s="103"/>
      <c r="AH781" s="103"/>
      <c r="AI781" s="103">
        <v>7</v>
      </c>
      <c r="AJ781" s="103"/>
      <c r="AK781" s="103"/>
      <c r="AL781" s="103"/>
      <c r="AM781" s="103"/>
      <c r="AN781" s="103"/>
      <c r="AO781" s="103"/>
      <c r="AP781" s="103">
        <v>5</v>
      </c>
      <c r="AQ781" s="103">
        <v>5</v>
      </c>
      <c r="AR781" s="103">
        <v>12</v>
      </c>
      <c r="AS781" s="103">
        <v>38</v>
      </c>
      <c r="AT781" s="103">
        <v>10</v>
      </c>
      <c r="AU781" s="103"/>
      <c r="AV781" s="103"/>
      <c r="AW781" s="104" t="str">
        <f>HYPERLINK("http://www.openstreetmap.org/?mlat=35.3448&amp;mlon=43.7361&amp;zoom=12#map=12/35.3448/43.7361","Maplink1")</f>
        <v>Maplink1</v>
      </c>
      <c r="AX781" s="104" t="str">
        <f>HYPERLINK("https://www.google.iq/maps/search/+35.3448,43.7361/@35.3448,43.7361,14z?hl=en","Maplink2")</f>
        <v>Maplink2</v>
      </c>
      <c r="AY781" s="104" t="str">
        <f>HYPERLINK("http://www.bing.com/maps/?lvl=14&amp;sty=h&amp;cp=35.3448~43.7361&amp;sp=point.35.3448_43.7361","Maplink3")</f>
        <v>Maplink3</v>
      </c>
    </row>
    <row r="782" spans="1:51" x14ac:dyDescent="0.2">
      <c r="A782" s="102">
        <v>33286</v>
      </c>
      <c r="B782" s="103" t="s">
        <v>34</v>
      </c>
      <c r="C782" s="103" t="s">
        <v>95</v>
      </c>
      <c r="D782" s="103" t="s">
        <v>1581</v>
      </c>
      <c r="E782" s="103" t="s">
        <v>1582</v>
      </c>
      <c r="F782" s="103">
        <v>35.531399999999998</v>
      </c>
      <c r="G782" s="103">
        <v>43.838479193200001</v>
      </c>
      <c r="H782" s="102">
        <v>95</v>
      </c>
      <c r="I782" s="102">
        <v>570</v>
      </c>
      <c r="J782" s="103"/>
      <c r="K782" s="103"/>
      <c r="L782" s="103"/>
      <c r="M782" s="103">
        <v>90</v>
      </c>
      <c r="N782" s="103">
        <v>5</v>
      </c>
      <c r="O782" s="103"/>
      <c r="P782" s="103"/>
      <c r="Q782" s="103"/>
      <c r="R782" s="103"/>
      <c r="S782" s="103"/>
      <c r="T782" s="103"/>
      <c r="U782" s="103"/>
      <c r="V782" s="103"/>
      <c r="W782" s="103"/>
      <c r="X782" s="103"/>
      <c r="Y782" s="103"/>
      <c r="Z782" s="103"/>
      <c r="AA782" s="103"/>
      <c r="AB782" s="103"/>
      <c r="AC782" s="103">
        <v>85</v>
      </c>
      <c r="AD782" s="103"/>
      <c r="AE782" s="103"/>
      <c r="AF782" s="103"/>
      <c r="AG782" s="103">
        <v>5</v>
      </c>
      <c r="AH782" s="103"/>
      <c r="AI782" s="103">
        <v>5</v>
      </c>
      <c r="AJ782" s="103"/>
      <c r="AK782" s="103"/>
      <c r="AL782" s="103"/>
      <c r="AM782" s="103"/>
      <c r="AN782" s="103">
        <v>5</v>
      </c>
      <c r="AO782" s="103"/>
      <c r="AP782" s="103"/>
      <c r="AQ782" s="103">
        <v>15</v>
      </c>
      <c r="AR782" s="103">
        <v>40</v>
      </c>
      <c r="AS782" s="103">
        <v>30</v>
      </c>
      <c r="AT782" s="103">
        <v>5</v>
      </c>
      <c r="AU782" s="103"/>
      <c r="AV782" s="103"/>
      <c r="AW782" s="104" t="str">
        <f>HYPERLINK("http://www.openstreetmap.org/?mlat=35.5314&amp;mlon=43.8385&amp;zoom=12#map=12/35.5314/43.8385","Maplink1")</f>
        <v>Maplink1</v>
      </c>
      <c r="AX782" s="104" t="str">
        <f>HYPERLINK("https://www.google.iq/maps/search/+35.5314,43.8385/@35.5314,43.8385,14z?hl=en","Maplink2")</f>
        <v>Maplink2</v>
      </c>
      <c r="AY782" s="104" t="str">
        <f>HYPERLINK("http://www.bing.com/maps/?lvl=14&amp;sty=h&amp;cp=35.5314~43.8385&amp;sp=point.35.5314_43.8385","Maplink3")</f>
        <v>Maplink3</v>
      </c>
    </row>
    <row r="783" spans="1:51" x14ac:dyDescent="0.2">
      <c r="A783" s="102">
        <v>15663</v>
      </c>
      <c r="B783" s="103" t="s">
        <v>34</v>
      </c>
      <c r="C783" s="103" t="s">
        <v>95</v>
      </c>
      <c r="D783" s="103" t="s">
        <v>1583</v>
      </c>
      <c r="E783" s="103" t="s">
        <v>1584</v>
      </c>
      <c r="F783" s="103">
        <v>35.427430000000001</v>
      </c>
      <c r="G783" s="103">
        <v>43.898258392800003</v>
      </c>
      <c r="H783" s="102">
        <v>75</v>
      </c>
      <c r="I783" s="102">
        <v>450</v>
      </c>
      <c r="J783" s="103"/>
      <c r="K783" s="103"/>
      <c r="L783" s="103"/>
      <c r="M783" s="103">
        <v>75</v>
      </c>
      <c r="N783" s="103"/>
      <c r="O783" s="103"/>
      <c r="P783" s="103"/>
      <c r="Q783" s="103"/>
      <c r="R783" s="103"/>
      <c r="S783" s="103"/>
      <c r="T783" s="103"/>
      <c r="U783" s="103"/>
      <c r="V783" s="103"/>
      <c r="W783" s="103"/>
      <c r="X783" s="103"/>
      <c r="Y783" s="103"/>
      <c r="Z783" s="103"/>
      <c r="AA783" s="103"/>
      <c r="AB783" s="103"/>
      <c r="AC783" s="103">
        <v>75</v>
      </c>
      <c r="AD783" s="103"/>
      <c r="AE783" s="103"/>
      <c r="AF783" s="103"/>
      <c r="AG783" s="103"/>
      <c r="AH783" s="103"/>
      <c r="AI783" s="103"/>
      <c r="AJ783" s="103"/>
      <c r="AK783" s="103"/>
      <c r="AL783" s="103"/>
      <c r="AM783" s="103"/>
      <c r="AN783" s="103">
        <v>10</v>
      </c>
      <c r="AO783" s="103">
        <v>5</v>
      </c>
      <c r="AP783" s="103"/>
      <c r="AQ783" s="103">
        <v>5</v>
      </c>
      <c r="AR783" s="103">
        <v>30</v>
      </c>
      <c r="AS783" s="103">
        <v>15</v>
      </c>
      <c r="AT783" s="103">
        <v>10</v>
      </c>
      <c r="AU783" s="103"/>
      <c r="AV783" s="103"/>
      <c r="AW783" s="104" t="str">
        <f>HYPERLINK("http://www.openstreetmap.org/?mlat=35.4274&amp;mlon=43.8983&amp;zoom=12#map=12/35.4274/43.8983","Maplink1")</f>
        <v>Maplink1</v>
      </c>
      <c r="AX783" s="104" t="str">
        <f>HYPERLINK("https://www.google.iq/maps/search/+35.4274,43.8983/@35.4274,43.8983,14z?hl=en","Maplink2")</f>
        <v>Maplink2</v>
      </c>
      <c r="AY783" s="104" t="str">
        <f>HYPERLINK("http://www.bing.com/maps/?lvl=14&amp;sty=h&amp;cp=35.4274~43.8983&amp;sp=point.35.4274_43.8983","Maplink3")</f>
        <v>Maplink3</v>
      </c>
    </row>
    <row r="784" spans="1:51" x14ac:dyDescent="0.2">
      <c r="A784" s="102">
        <v>15191</v>
      </c>
      <c r="B784" s="103" t="s">
        <v>34</v>
      </c>
      <c r="C784" s="103" t="s">
        <v>95</v>
      </c>
      <c r="D784" s="103" t="s">
        <v>1786</v>
      </c>
      <c r="E784" s="103" t="s">
        <v>1787</v>
      </c>
      <c r="F784" s="103">
        <v>35.264330000000001</v>
      </c>
      <c r="G784" s="103">
        <v>43.447561285100001</v>
      </c>
      <c r="H784" s="102">
        <v>1519</v>
      </c>
      <c r="I784" s="102">
        <v>9114</v>
      </c>
      <c r="J784" s="103"/>
      <c r="K784" s="103"/>
      <c r="L784" s="103"/>
      <c r="M784" s="103">
        <v>1500</v>
      </c>
      <c r="N784" s="103">
        <v>19</v>
      </c>
      <c r="O784" s="103"/>
      <c r="P784" s="103"/>
      <c r="Q784" s="103"/>
      <c r="R784" s="103"/>
      <c r="S784" s="103"/>
      <c r="T784" s="103"/>
      <c r="U784" s="103"/>
      <c r="V784" s="103"/>
      <c r="W784" s="103">
        <v>5</v>
      </c>
      <c r="X784" s="103"/>
      <c r="Y784" s="103"/>
      <c r="Z784" s="103"/>
      <c r="AA784" s="103"/>
      <c r="AB784" s="103"/>
      <c r="AC784" s="103">
        <v>1279</v>
      </c>
      <c r="AD784" s="103"/>
      <c r="AE784" s="103"/>
      <c r="AF784" s="103"/>
      <c r="AG784" s="103"/>
      <c r="AH784" s="103"/>
      <c r="AI784" s="103">
        <v>235</v>
      </c>
      <c r="AJ784" s="103"/>
      <c r="AK784" s="103"/>
      <c r="AL784" s="103"/>
      <c r="AM784" s="103"/>
      <c r="AN784" s="103">
        <v>65</v>
      </c>
      <c r="AO784" s="103">
        <v>150</v>
      </c>
      <c r="AP784" s="103">
        <v>275</v>
      </c>
      <c r="AQ784" s="103">
        <v>280</v>
      </c>
      <c r="AR784" s="103">
        <v>354</v>
      </c>
      <c r="AS784" s="103">
        <v>315</v>
      </c>
      <c r="AT784" s="103">
        <v>80</v>
      </c>
      <c r="AU784" s="103"/>
      <c r="AV784" s="103"/>
      <c r="AW784" s="104" t="str">
        <f>HYPERLINK("http://www.openstreetmap.org/?mlat=35.2643&amp;mlon=43.4476&amp;zoom=12#map=12/35.2643/43.4476","Maplink1")</f>
        <v>Maplink1</v>
      </c>
      <c r="AX784" s="104" t="str">
        <f>HYPERLINK("https://www.google.iq/maps/search/+35.2643,43.4476/@35.2643,43.4476,14z?hl=en","Maplink2")</f>
        <v>Maplink2</v>
      </c>
      <c r="AY784" s="104" t="str">
        <f>HYPERLINK("http://www.bing.com/maps/?lvl=14&amp;sty=h&amp;cp=35.2643~43.4476&amp;sp=point.35.2643_43.4476","Maplink3")</f>
        <v>Maplink3</v>
      </c>
    </row>
    <row r="785" spans="1:51" x14ac:dyDescent="0.2">
      <c r="A785" s="102">
        <v>14854</v>
      </c>
      <c r="B785" s="103" t="s">
        <v>34</v>
      </c>
      <c r="C785" s="103" t="s">
        <v>95</v>
      </c>
      <c r="D785" s="103" t="s">
        <v>1788</v>
      </c>
      <c r="E785" s="103" t="s">
        <v>1789</v>
      </c>
      <c r="F785" s="103">
        <v>35.435940000000002</v>
      </c>
      <c r="G785" s="103">
        <v>43.796475869799998</v>
      </c>
      <c r="H785" s="102">
        <v>440</v>
      </c>
      <c r="I785" s="102">
        <v>2640</v>
      </c>
      <c r="J785" s="103"/>
      <c r="K785" s="103"/>
      <c r="L785" s="103"/>
      <c r="M785" s="103">
        <v>440</v>
      </c>
      <c r="N785" s="103"/>
      <c r="O785" s="103"/>
      <c r="P785" s="103"/>
      <c r="Q785" s="103"/>
      <c r="R785" s="103"/>
      <c r="S785" s="103"/>
      <c r="T785" s="103"/>
      <c r="U785" s="103"/>
      <c r="V785" s="103"/>
      <c r="W785" s="103"/>
      <c r="X785" s="103"/>
      <c r="Y785" s="103"/>
      <c r="Z785" s="103"/>
      <c r="AA785" s="103"/>
      <c r="AB785" s="103"/>
      <c r="AC785" s="103">
        <v>137</v>
      </c>
      <c r="AD785" s="103"/>
      <c r="AE785" s="103"/>
      <c r="AF785" s="103"/>
      <c r="AG785" s="103"/>
      <c r="AH785" s="103"/>
      <c r="AI785" s="103">
        <v>303</v>
      </c>
      <c r="AJ785" s="103"/>
      <c r="AK785" s="103"/>
      <c r="AL785" s="103"/>
      <c r="AM785" s="103"/>
      <c r="AN785" s="103">
        <v>45</v>
      </c>
      <c r="AO785" s="103">
        <v>60</v>
      </c>
      <c r="AP785" s="103">
        <v>75</v>
      </c>
      <c r="AQ785" s="103">
        <v>36</v>
      </c>
      <c r="AR785" s="103">
        <v>45</v>
      </c>
      <c r="AS785" s="103">
        <v>120</v>
      </c>
      <c r="AT785" s="103">
        <v>59</v>
      </c>
      <c r="AU785" s="103"/>
      <c r="AV785" s="103"/>
      <c r="AW785" s="104" t="str">
        <f>HYPERLINK("http://www.openstreetmap.org/?mlat=35.4359&amp;mlon=43.7965&amp;zoom=12#map=12/35.4359/43.7965","Maplink1")</f>
        <v>Maplink1</v>
      </c>
      <c r="AX785" s="104" t="str">
        <f>HYPERLINK("https://www.google.iq/maps/search/+35.4359,43.7965/@35.4359,43.7965,14z?hl=en","Maplink2")</f>
        <v>Maplink2</v>
      </c>
      <c r="AY785" s="104" t="str">
        <f>HYPERLINK("http://www.bing.com/maps/?lvl=14&amp;sty=h&amp;cp=35.4359~43.7965&amp;sp=point.35.4359_43.7965","Maplink3")</f>
        <v>Maplink3</v>
      </c>
    </row>
    <row r="786" spans="1:51" x14ac:dyDescent="0.2">
      <c r="A786" s="102">
        <v>14875</v>
      </c>
      <c r="B786" s="103" t="s">
        <v>34</v>
      </c>
      <c r="C786" s="103" t="s">
        <v>95</v>
      </c>
      <c r="D786" s="103" t="s">
        <v>1790</v>
      </c>
      <c r="E786" s="103" t="s">
        <v>1791</v>
      </c>
      <c r="F786" s="103">
        <v>35.411340000000003</v>
      </c>
      <c r="G786" s="103">
        <v>43.876693207700001</v>
      </c>
      <c r="H786" s="102">
        <v>14</v>
      </c>
      <c r="I786" s="102">
        <v>84</v>
      </c>
      <c r="J786" s="103"/>
      <c r="K786" s="103"/>
      <c r="L786" s="103"/>
      <c r="M786" s="103">
        <v>14</v>
      </c>
      <c r="N786" s="103"/>
      <c r="O786" s="103"/>
      <c r="P786" s="103"/>
      <c r="Q786" s="103"/>
      <c r="R786" s="103"/>
      <c r="S786" s="103"/>
      <c r="T786" s="103"/>
      <c r="U786" s="103"/>
      <c r="V786" s="103"/>
      <c r="W786" s="103"/>
      <c r="X786" s="103"/>
      <c r="Y786" s="103"/>
      <c r="Z786" s="103"/>
      <c r="AA786" s="103"/>
      <c r="AB786" s="103"/>
      <c r="AC786" s="103">
        <v>14</v>
      </c>
      <c r="AD786" s="103"/>
      <c r="AE786" s="103"/>
      <c r="AF786" s="103"/>
      <c r="AG786" s="103"/>
      <c r="AH786" s="103"/>
      <c r="AI786" s="103"/>
      <c r="AJ786" s="103"/>
      <c r="AK786" s="103"/>
      <c r="AL786" s="103"/>
      <c r="AM786" s="103"/>
      <c r="AN786" s="103"/>
      <c r="AO786" s="103"/>
      <c r="AP786" s="103">
        <v>5</v>
      </c>
      <c r="AQ786" s="103">
        <v>5</v>
      </c>
      <c r="AR786" s="103">
        <v>4</v>
      </c>
      <c r="AS786" s="103"/>
      <c r="AT786" s="103"/>
      <c r="AU786" s="103"/>
      <c r="AV786" s="103"/>
      <c r="AW786" s="104" t="str">
        <f>HYPERLINK("http://www.openstreetmap.org/?mlat=35.4113&amp;mlon=43.8767&amp;zoom=12#map=12/35.4113/43.8767","Maplink1")</f>
        <v>Maplink1</v>
      </c>
      <c r="AX786" s="104" t="str">
        <f>HYPERLINK("https://www.google.iq/maps/search/+35.4113,43.8767/@35.4113,43.8767,14z?hl=en","Maplink2")</f>
        <v>Maplink2</v>
      </c>
      <c r="AY786" s="104" t="str">
        <f>HYPERLINK("http://www.bing.com/maps/?lvl=14&amp;sty=h&amp;cp=35.4113~43.8767&amp;sp=point.35.4113_43.8767","Maplink3")</f>
        <v>Maplink3</v>
      </c>
    </row>
    <row r="787" spans="1:51" x14ac:dyDescent="0.2">
      <c r="A787" s="102">
        <v>33576</v>
      </c>
      <c r="B787" s="103" t="s">
        <v>34</v>
      </c>
      <c r="C787" s="103" t="s">
        <v>95</v>
      </c>
      <c r="D787" s="103" t="s">
        <v>1792</v>
      </c>
      <c r="E787" s="103" t="s">
        <v>1793</v>
      </c>
      <c r="F787" s="103">
        <v>35.318890000000003</v>
      </c>
      <c r="G787" s="103">
        <v>43.795551734100002</v>
      </c>
      <c r="H787" s="102">
        <v>90</v>
      </c>
      <c r="I787" s="102">
        <v>540</v>
      </c>
      <c r="J787" s="103"/>
      <c r="K787" s="103"/>
      <c r="L787" s="103"/>
      <c r="M787" s="103">
        <v>90</v>
      </c>
      <c r="N787" s="103"/>
      <c r="O787" s="103"/>
      <c r="P787" s="103"/>
      <c r="Q787" s="103"/>
      <c r="R787" s="103"/>
      <c r="S787" s="103"/>
      <c r="T787" s="103"/>
      <c r="U787" s="103"/>
      <c r="V787" s="103"/>
      <c r="W787" s="103"/>
      <c r="X787" s="103"/>
      <c r="Y787" s="103"/>
      <c r="Z787" s="103"/>
      <c r="AA787" s="103"/>
      <c r="AB787" s="103"/>
      <c r="AC787" s="103">
        <v>62</v>
      </c>
      <c r="AD787" s="103"/>
      <c r="AE787" s="103"/>
      <c r="AF787" s="103"/>
      <c r="AG787" s="103"/>
      <c r="AH787" s="103"/>
      <c r="AI787" s="103">
        <v>28</v>
      </c>
      <c r="AJ787" s="103"/>
      <c r="AK787" s="103"/>
      <c r="AL787" s="103"/>
      <c r="AM787" s="103"/>
      <c r="AN787" s="103">
        <v>10</v>
      </c>
      <c r="AO787" s="103">
        <v>20</v>
      </c>
      <c r="AP787" s="103">
        <v>10</v>
      </c>
      <c r="AQ787" s="103">
        <v>20</v>
      </c>
      <c r="AR787" s="103">
        <v>15</v>
      </c>
      <c r="AS787" s="103">
        <v>15</v>
      </c>
      <c r="AT787" s="103"/>
      <c r="AU787" s="103"/>
      <c r="AV787" s="103"/>
      <c r="AW787" s="104" t="str">
        <f>HYPERLINK("http://www.openstreetmap.org/?mlat=35.3189&amp;mlon=43.7956&amp;zoom=12#map=12/35.3189/43.7956","Maplink1")</f>
        <v>Maplink1</v>
      </c>
      <c r="AX787" s="104" t="str">
        <f>HYPERLINK("https://www.google.iq/maps/search/+35.3189,43.7956/@35.3189,43.7956,14z?hl=en","Maplink2")</f>
        <v>Maplink2</v>
      </c>
      <c r="AY787" s="104" t="str">
        <f>HYPERLINK("http://www.bing.com/maps/?lvl=14&amp;sty=h&amp;cp=35.3189~43.7956&amp;sp=point.35.3189_43.7956","Maplink3")</f>
        <v>Maplink3</v>
      </c>
    </row>
    <row r="788" spans="1:51" x14ac:dyDescent="0.2">
      <c r="A788" s="102">
        <v>15242</v>
      </c>
      <c r="B788" s="103" t="s">
        <v>34</v>
      </c>
      <c r="C788" s="103" t="s">
        <v>95</v>
      </c>
      <c r="D788" s="103" t="s">
        <v>1675</v>
      </c>
      <c r="E788" s="103" t="s">
        <v>1676</v>
      </c>
      <c r="F788" s="103">
        <v>35.30301</v>
      </c>
      <c r="G788" s="103">
        <v>43.701824719199998</v>
      </c>
      <c r="H788" s="102">
        <v>237</v>
      </c>
      <c r="I788" s="102">
        <v>1422</v>
      </c>
      <c r="J788" s="103"/>
      <c r="K788" s="103"/>
      <c r="L788" s="103"/>
      <c r="M788" s="103">
        <v>232</v>
      </c>
      <c r="N788" s="103">
        <v>5</v>
      </c>
      <c r="O788" s="103"/>
      <c r="P788" s="103"/>
      <c r="Q788" s="103"/>
      <c r="R788" s="103"/>
      <c r="S788" s="103"/>
      <c r="T788" s="103"/>
      <c r="U788" s="103"/>
      <c r="V788" s="103"/>
      <c r="W788" s="103"/>
      <c r="X788" s="103"/>
      <c r="Y788" s="103"/>
      <c r="Z788" s="103"/>
      <c r="AA788" s="103"/>
      <c r="AB788" s="103"/>
      <c r="AC788" s="103">
        <v>237</v>
      </c>
      <c r="AD788" s="103"/>
      <c r="AE788" s="103"/>
      <c r="AF788" s="103"/>
      <c r="AG788" s="103"/>
      <c r="AH788" s="103"/>
      <c r="AI788" s="103"/>
      <c r="AJ788" s="103"/>
      <c r="AK788" s="103"/>
      <c r="AL788" s="103"/>
      <c r="AM788" s="103"/>
      <c r="AN788" s="103"/>
      <c r="AO788" s="103">
        <v>20</v>
      </c>
      <c r="AP788" s="103">
        <v>25</v>
      </c>
      <c r="AQ788" s="103">
        <v>45</v>
      </c>
      <c r="AR788" s="103">
        <v>35</v>
      </c>
      <c r="AS788" s="103">
        <v>72</v>
      </c>
      <c r="AT788" s="103">
        <v>40</v>
      </c>
      <c r="AU788" s="103"/>
      <c r="AV788" s="103"/>
      <c r="AW788" s="104" t="str">
        <f>HYPERLINK("http://www.openstreetmap.org/?mlat=35.303&amp;mlon=43.7018&amp;zoom=12#map=12/35.303/43.7018","Maplink1")</f>
        <v>Maplink1</v>
      </c>
      <c r="AX788" s="104" t="str">
        <f>HYPERLINK("https://www.google.iq/maps/search/+35.303,43.7018/@35.303,43.7018,14z?hl=en","Maplink2")</f>
        <v>Maplink2</v>
      </c>
      <c r="AY788" s="104" t="str">
        <f>HYPERLINK("http://www.bing.com/maps/?lvl=14&amp;sty=h&amp;cp=35.303~43.7018&amp;sp=point.35.303_43.7018","Maplink3")</f>
        <v>Maplink3</v>
      </c>
    </row>
    <row r="789" spans="1:51" x14ac:dyDescent="0.2">
      <c r="A789" s="102">
        <v>14444</v>
      </c>
      <c r="B789" s="103" t="s">
        <v>34</v>
      </c>
      <c r="C789" s="103" t="s">
        <v>95</v>
      </c>
      <c r="D789" s="103" t="s">
        <v>1677</v>
      </c>
      <c r="E789" s="103" t="s">
        <v>1678</v>
      </c>
      <c r="F789" s="103">
        <v>35.494799999999998</v>
      </c>
      <c r="G789" s="103">
        <v>43.8376810408</v>
      </c>
      <c r="H789" s="102">
        <v>381</v>
      </c>
      <c r="I789" s="102">
        <v>2286</v>
      </c>
      <c r="J789" s="103"/>
      <c r="K789" s="103"/>
      <c r="L789" s="103"/>
      <c r="M789" s="103">
        <v>381</v>
      </c>
      <c r="N789" s="103"/>
      <c r="O789" s="103"/>
      <c r="P789" s="103"/>
      <c r="Q789" s="103"/>
      <c r="R789" s="103"/>
      <c r="S789" s="103"/>
      <c r="T789" s="103"/>
      <c r="U789" s="103"/>
      <c r="V789" s="103"/>
      <c r="W789" s="103"/>
      <c r="X789" s="103"/>
      <c r="Y789" s="103"/>
      <c r="Z789" s="103"/>
      <c r="AA789" s="103"/>
      <c r="AB789" s="103"/>
      <c r="AC789" s="103">
        <v>351</v>
      </c>
      <c r="AD789" s="103"/>
      <c r="AE789" s="103"/>
      <c r="AF789" s="103"/>
      <c r="AG789" s="103"/>
      <c r="AH789" s="103"/>
      <c r="AI789" s="103">
        <v>30</v>
      </c>
      <c r="AJ789" s="103"/>
      <c r="AK789" s="103"/>
      <c r="AL789" s="103"/>
      <c r="AM789" s="103"/>
      <c r="AN789" s="103">
        <v>5</v>
      </c>
      <c r="AO789" s="103">
        <v>30</v>
      </c>
      <c r="AP789" s="103">
        <v>60</v>
      </c>
      <c r="AQ789" s="103">
        <v>95</v>
      </c>
      <c r="AR789" s="103">
        <v>84</v>
      </c>
      <c r="AS789" s="103">
        <v>62</v>
      </c>
      <c r="AT789" s="103">
        <v>45</v>
      </c>
      <c r="AU789" s="103"/>
      <c r="AV789" s="103"/>
      <c r="AW789" s="104" t="str">
        <f>HYPERLINK("http://www.openstreetmap.org/?mlat=35.4948&amp;mlon=43.8377&amp;zoom=12#map=12/35.4948/43.8377","Maplink1")</f>
        <v>Maplink1</v>
      </c>
      <c r="AX789" s="104" t="str">
        <f>HYPERLINK("https://www.google.iq/maps/search/+35.4948,43.8377/@35.4948,43.8377,14z?hl=en","Maplink2")</f>
        <v>Maplink2</v>
      </c>
      <c r="AY789" s="104" t="str">
        <f>HYPERLINK("http://www.bing.com/maps/?lvl=14&amp;sty=h&amp;cp=35.4948~43.8377&amp;sp=point.35.4948_43.8377","Maplink3")</f>
        <v>Maplink3</v>
      </c>
    </row>
    <row r="790" spans="1:51" x14ac:dyDescent="0.2">
      <c r="A790" s="102">
        <v>14843</v>
      </c>
      <c r="B790" s="103" t="s">
        <v>34</v>
      </c>
      <c r="C790" s="103" t="s">
        <v>95</v>
      </c>
      <c r="D790" s="103" t="s">
        <v>1679</v>
      </c>
      <c r="E790" s="103" t="s">
        <v>1680</v>
      </c>
      <c r="F790" s="103">
        <v>35.273299999999999</v>
      </c>
      <c r="G790" s="103">
        <v>43.6284774955</v>
      </c>
      <c r="H790" s="102">
        <v>450</v>
      </c>
      <c r="I790" s="102">
        <v>2700</v>
      </c>
      <c r="J790" s="103"/>
      <c r="K790" s="103"/>
      <c r="L790" s="103"/>
      <c r="M790" s="103">
        <v>450</v>
      </c>
      <c r="N790" s="103"/>
      <c r="O790" s="103"/>
      <c r="P790" s="103"/>
      <c r="Q790" s="103"/>
      <c r="R790" s="103"/>
      <c r="S790" s="103"/>
      <c r="T790" s="103"/>
      <c r="U790" s="103"/>
      <c r="V790" s="103"/>
      <c r="W790" s="103"/>
      <c r="X790" s="103"/>
      <c r="Y790" s="103"/>
      <c r="Z790" s="103"/>
      <c r="AA790" s="103"/>
      <c r="AB790" s="103"/>
      <c r="AC790" s="103">
        <v>301</v>
      </c>
      <c r="AD790" s="103"/>
      <c r="AE790" s="103"/>
      <c r="AF790" s="103"/>
      <c r="AG790" s="103"/>
      <c r="AH790" s="103"/>
      <c r="AI790" s="103">
        <v>149</v>
      </c>
      <c r="AJ790" s="103"/>
      <c r="AK790" s="103"/>
      <c r="AL790" s="103"/>
      <c r="AM790" s="103"/>
      <c r="AN790" s="103">
        <v>25</v>
      </c>
      <c r="AO790" s="103">
        <v>40</v>
      </c>
      <c r="AP790" s="103">
        <v>55</v>
      </c>
      <c r="AQ790" s="103">
        <v>60</v>
      </c>
      <c r="AR790" s="103">
        <v>93</v>
      </c>
      <c r="AS790" s="103">
        <v>110</v>
      </c>
      <c r="AT790" s="103">
        <v>67</v>
      </c>
      <c r="AU790" s="103"/>
      <c r="AV790" s="103"/>
      <c r="AW790" s="104" t="str">
        <f>HYPERLINK("http://www.openstreetmap.org/?mlat=35.2733&amp;mlon=43.6285&amp;zoom=12#map=12/35.2733/43.6285","Maplink1")</f>
        <v>Maplink1</v>
      </c>
      <c r="AX790" s="104" t="str">
        <f>HYPERLINK("https://www.google.iq/maps/search/+35.2733,43.6285/@35.2733,43.6285,14z?hl=en","Maplink2")</f>
        <v>Maplink2</v>
      </c>
      <c r="AY790" s="104" t="str">
        <f>HYPERLINK("http://www.bing.com/maps/?lvl=14&amp;sty=h&amp;cp=35.2733~43.6285&amp;sp=point.35.2733_43.6285","Maplink3")</f>
        <v>Maplink3</v>
      </c>
    </row>
    <row r="791" spans="1:51" x14ac:dyDescent="0.2">
      <c r="A791" s="102">
        <v>15609</v>
      </c>
      <c r="B791" s="103" t="s">
        <v>34</v>
      </c>
      <c r="C791" s="103" t="s">
        <v>95</v>
      </c>
      <c r="D791" s="103" t="s">
        <v>1681</v>
      </c>
      <c r="E791" s="103" t="s">
        <v>1682</v>
      </c>
      <c r="F791" s="103">
        <v>35.324460000000002</v>
      </c>
      <c r="G791" s="103">
        <v>43.788543063200002</v>
      </c>
      <c r="H791" s="102">
        <v>165</v>
      </c>
      <c r="I791" s="102">
        <v>990</v>
      </c>
      <c r="J791" s="103"/>
      <c r="K791" s="103"/>
      <c r="L791" s="103"/>
      <c r="M791" s="103">
        <v>165</v>
      </c>
      <c r="N791" s="103"/>
      <c r="O791" s="103"/>
      <c r="P791" s="103"/>
      <c r="Q791" s="103"/>
      <c r="R791" s="103"/>
      <c r="S791" s="103"/>
      <c r="T791" s="103"/>
      <c r="U791" s="103"/>
      <c r="V791" s="103"/>
      <c r="W791" s="103"/>
      <c r="X791" s="103"/>
      <c r="Y791" s="103"/>
      <c r="Z791" s="103"/>
      <c r="AA791" s="103"/>
      <c r="AB791" s="103"/>
      <c r="AC791" s="103">
        <v>160</v>
      </c>
      <c r="AD791" s="103"/>
      <c r="AE791" s="103"/>
      <c r="AF791" s="103"/>
      <c r="AG791" s="103"/>
      <c r="AH791" s="103"/>
      <c r="AI791" s="103">
        <v>5</v>
      </c>
      <c r="AJ791" s="103"/>
      <c r="AK791" s="103"/>
      <c r="AL791" s="103"/>
      <c r="AM791" s="103"/>
      <c r="AN791" s="103">
        <v>11</v>
      </c>
      <c r="AO791" s="103">
        <v>25</v>
      </c>
      <c r="AP791" s="103">
        <v>25</v>
      </c>
      <c r="AQ791" s="103">
        <v>22</v>
      </c>
      <c r="AR791" s="103">
        <v>35</v>
      </c>
      <c r="AS791" s="103">
        <v>27</v>
      </c>
      <c r="AT791" s="103">
        <v>20</v>
      </c>
      <c r="AU791" s="103"/>
      <c r="AV791" s="103"/>
      <c r="AW791" s="104" t="str">
        <f>HYPERLINK("http://www.openstreetmap.org/?mlat=35.3245&amp;mlon=43.7885&amp;zoom=12#map=12/35.3245/43.7885","Maplink1")</f>
        <v>Maplink1</v>
      </c>
      <c r="AX791" s="104" t="str">
        <f>HYPERLINK("https://www.google.iq/maps/search/+35.3245,43.7885/@35.3245,43.7885,14z?hl=en","Maplink2")</f>
        <v>Maplink2</v>
      </c>
      <c r="AY791" s="104" t="str">
        <f>HYPERLINK("http://www.bing.com/maps/?lvl=14&amp;sty=h&amp;cp=35.3245~43.7885&amp;sp=point.35.3245_43.7885","Maplink3")</f>
        <v>Maplink3</v>
      </c>
    </row>
    <row r="792" spans="1:51" x14ac:dyDescent="0.2">
      <c r="A792" s="102">
        <v>33690</v>
      </c>
      <c r="B792" s="103" t="s">
        <v>34</v>
      </c>
      <c r="C792" s="103" t="s">
        <v>95</v>
      </c>
      <c r="D792" s="103" t="s">
        <v>1683</v>
      </c>
      <c r="E792" s="103" t="s">
        <v>1684</v>
      </c>
      <c r="F792" s="103">
        <v>35.44112011</v>
      </c>
      <c r="G792" s="103">
        <v>43.826762670000001</v>
      </c>
      <c r="H792" s="102">
        <v>62</v>
      </c>
      <c r="I792" s="102">
        <v>372</v>
      </c>
      <c r="J792" s="103"/>
      <c r="K792" s="103"/>
      <c r="L792" s="103"/>
      <c r="M792" s="103">
        <v>59</v>
      </c>
      <c r="N792" s="103">
        <v>3</v>
      </c>
      <c r="O792" s="103"/>
      <c r="P792" s="103"/>
      <c r="Q792" s="103"/>
      <c r="R792" s="103"/>
      <c r="S792" s="103"/>
      <c r="T792" s="103"/>
      <c r="U792" s="103"/>
      <c r="V792" s="103"/>
      <c r="W792" s="103"/>
      <c r="X792" s="103"/>
      <c r="Y792" s="103"/>
      <c r="Z792" s="103"/>
      <c r="AA792" s="103"/>
      <c r="AB792" s="103"/>
      <c r="AC792" s="103">
        <v>47</v>
      </c>
      <c r="AD792" s="103"/>
      <c r="AE792" s="103"/>
      <c r="AF792" s="103"/>
      <c r="AG792" s="103"/>
      <c r="AH792" s="103"/>
      <c r="AI792" s="103">
        <v>15</v>
      </c>
      <c r="AJ792" s="103"/>
      <c r="AK792" s="103"/>
      <c r="AL792" s="103"/>
      <c r="AM792" s="103"/>
      <c r="AN792" s="103"/>
      <c r="AO792" s="103"/>
      <c r="AP792" s="103">
        <v>20</v>
      </c>
      <c r="AQ792" s="103">
        <v>15</v>
      </c>
      <c r="AR792" s="103">
        <v>25</v>
      </c>
      <c r="AS792" s="103">
        <v>2</v>
      </c>
      <c r="AT792" s="103"/>
      <c r="AU792" s="103"/>
      <c r="AV792" s="103"/>
      <c r="AW792" s="104" t="str">
        <f>HYPERLINK("http://www.openstreetmap.org/?mlat=35.4411&amp;mlon=43.8268&amp;zoom=12#map=12/35.4411/43.8268","Maplink1")</f>
        <v>Maplink1</v>
      </c>
      <c r="AX792" s="104" t="str">
        <f>HYPERLINK("https://www.google.iq/maps/search/+35.4411,43.8268/@35.4411,43.8268,14z?hl=en","Maplink2")</f>
        <v>Maplink2</v>
      </c>
      <c r="AY792" s="104" t="str">
        <f>HYPERLINK("http://www.bing.com/maps/?lvl=14&amp;sty=h&amp;cp=35.4411~43.8268&amp;sp=point.35.4411_43.8268","Maplink3")</f>
        <v>Maplink3</v>
      </c>
    </row>
    <row r="793" spans="1:51" x14ac:dyDescent="0.2">
      <c r="A793" s="102">
        <v>24362</v>
      </c>
      <c r="B793" s="103" t="s">
        <v>34</v>
      </c>
      <c r="C793" s="103" t="s">
        <v>95</v>
      </c>
      <c r="D793" s="103" t="s">
        <v>1563</v>
      </c>
      <c r="E793" s="103" t="s">
        <v>1564</v>
      </c>
      <c r="F793" s="103">
        <v>35.297699999999999</v>
      </c>
      <c r="G793" s="103">
        <v>43.530045212499999</v>
      </c>
      <c r="H793" s="102">
        <v>1560</v>
      </c>
      <c r="I793" s="102">
        <v>9360</v>
      </c>
      <c r="J793" s="103"/>
      <c r="K793" s="103"/>
      <c r="L793" s="103"/>
      <c r="M793" s="103">
        <v>1520</v>
      </c>
      <c r="N793" s="103">
        <v>40</v>
      </c>
      <c r="O793" s="103"/>
      <c r="P793" s="103"/>
      <c r="Q793" s="103"/>
      <c r="R793" s="103"/>
      <c r="S793" s="103"/>
      <c r="T793" s="103"/>
      <c r="U793" s="103"/>
      <c r="V793" s="103">
        <v>3</v>
      </c>
      <c r="W793" s="103">
        <v>27</v>
      </c>
      <c r="X793" s="103"/>
      <c r="Y793" s="103"/>
      <c r="Z793" s="103"/>
      <c r="AA793" s="103"/>
      <c r="AB793" s="103"/>
      <c r="AC793" s="103">
        <v>980</v>
      </c>
      <c r="AD793" s="103"/>
      <c r="AE793" s="103"/>
      <c r="AF793" s="103"/>
      <c r="AG793" s="103">
        <v>250</v>
      </c>
      <c r="AH793" s="103"/>
      <c r="AI793" s="103">
        <v>300</v>
      </c>
      <c r="AJ793" s="103"/>
      <c r="AK793" s="103"/>
      <c r="AL793" s="103"/>
      <c r="AM793" s="103"/>
      <c r="AN793" s="103">
        <v>50</v>
      </c>
      <c r="AO793" s="103">
        <v>150</v>
      </c>
      <c r="AP793" s="103">
        <v>350</v>
      </c>
      <c r="AQ793" s="103">
        <v>260</v>
      </c>
      <c r="AR793" s="103">
        <v>250</v>
      </c>
      <c r="AS793" s="103">
        <v>200</v>
      </c>
      <c r="AT793" s="103">
        <v>300</v>
      </c>
      <c r="AU793" s="103"/>
      <c r="AV793" s="103"/>
      <c r="AW793" s="104" t="str">
        <f>HYPERLINK("http://www.openstreetmap.org/?mlat=35.2977&amp;mlon=43.53&amp;zoom=12#map=12/35.2977/43.53","Maplink1")</f>
        <v>Maplink1</v>
      </c>
      <c r="AX793" s="104" t="str">
        <f>HYPERLINK("https://www.google.iq/maps/search/+35.2977,43.53/@35.2977,43.53,14z?hl=en","Maplink2")</f>
        <v>Maplink2</v>
      </c>
      <c r="AY793" s="104" t="str">
        <f>HYPERLINK("http://www.bing.com/maps/?lvl=14&amp;sty=h&amp;cp=35.2977~43.53&amp;sp=point.35.2977_43.53","Maplink3")</f>
        <v>Maplink3</v>
      </c>
    </row>
    <row r="794" spans="1:51" x14ac:dyDescent="0.2">
      <c r="A794" s="102">
        <v>14555</v>
      </c>
      <c r="B794" s="103" t="s">
        <v>34</v>
      </c>
      <c r="C794" s="103" t="s">
        <v>95</v>
      </c>
      <c r="D794" s="103" t="s">
        <v>1565</v>
      </c>
      <c r="E794" s="103" t="s">
        <v>1566</v>
      </c>
      <c r="F794" s="103">
        <v>35.215249999999997</v>
      </c>
      <c r="G794" s="103">
        <v>43.412717947799997</v>
      </c>
      <c r="H794" s="102">
        <v>661</v>
      </c>
      <c r="I794" s="102">
        <v>3966</v>
      </c>
      <c r="J794" s="103"/>
      <c r="K794" s="103"/>
      <c r="L794" s="103"/>
      <c r="M794" s="103">
        <v>651</v>
      </c>
      <c r="N794" s="103">
        <v>10</v>
      </c>
      <c r="O794" s="103"/>
      <c r="P794" s="103"/>
      <c r="Q794" s="103"/>
      <c r="R794" s="103"/>
      <c r="S794" s="103"/>
      <c r="T794" s="103"/>
      <c r="U794" s="103"/>
      <c r="V794" s="103"/>
      <c r="W794" s="103"/>
      <c r="X794" s="103"/>
      <c r="Y794" s="103"/>
      <c r="Z794" s="103"/>
      <c r="AA794" s="103"/>
      <c r="AB794" s="103"/>
      <c r="AC794" s="103">
        <v>422</v>
      </c>
      <c r="AD794" s="103"/>
      <c r="AE794" s="103"/>
      <c r="AF794" s="103"/>
      <c r="AG794" s="103"/>
      <c r="AH794" s="103"/>
      <c r="AI794" s="103">
        <v>239</v>
      </c>
      <c r="AJ794" s="103"/>
      <c r="AK794" s="103"/>
      <c r="AL794" s="103"/>
      <c r="AM794" s="103"/>
      <c r="AN794" s="103">
        <v>20</v>
      </c>
      <c r="AO794" s="103">
        <v>30</v>
      </c>
      <c r="AP794" s="103">
        <v>57</v>
      </c>
      <c r="AQ794" s="103">
        <v>80</v>
      </c>
      <c r="AR794" s="103">
        <v>215</v>
      </c>
      <c r="AS794" s="103">
        <v>200</v>
      </c>
      <c r="AT794" s="103">
        <v>59</v>
      </c>
      <c r="AU794" s="103"/>
      <c r="AV794" s="103"/>
      <c r="AW794" s="104" t="str">
        <f>HYPERLINK("http://www.openstreetmap.org/?mlat=35.2152&amp;mlon=43.4127&amp;zoom=12#map=12/35.2152/43.4127","Maplink1")</f>
        <v>Maplink1</v>
      </c>
      <c r="AX794" s="104" t="str">
        <f>HYPERLINK("https://www.google.iq/maps/search/+35.2152,43.4127/@35.2152,43.4127,14z?hl=en","Maplink2")</f>
        <v>Maplink2</v>
      </c>
      <c r="AY794" s="104" t="str">
        <f>HYPERLINK("http://www.bing.com/maps/?lvl=14&amp;sty=h&amp;cp=35.2152~43.4127&amp;sp=point.35.2152_43.4127","Maplink3")</f>
        <v>Maplink3</v>
      </c>
    </row>
    <row r="795" spans="1:51" x14ac:dyDescent="0.2">
      <c r="A795" s="102">
        <v>33262</v>
      </c>
      <c r="B795" s="103" t="s">
        <v>34</v>
      </c>
      <c r="C795" s="103" t="s">
        <v>95</v>
      </c>
      <c r="D795" s="103" t="s">
        <v>1567</v>
      </c>
      <c r="E795" s="103" t="s">
        <v>1568</v>
      </c>
      <c r="F795" s="103">
        <v>35.308886999999999</v>
      </c>
      <c r="G795" s="103">
        <v>43.542470668</v>
      </c>
      <c r="H795" s="102">
        <v>260</v>
      </c>
      <c r="I795" s="102">
        <v>1560</v>
      </c>
      <c r="J795" s="103"/>
      <c r="K795" s="103"/>
      <c r="L795" s="103"/>
      <c r="M795" s="103">
        <v>255</v>
      </c>
      <c r="N795" s="103">
        <v>5</v>
      </c>
      <c r="O795" s="103"/>
      <c r="P795" s="103"/>
      <c r="Q795" s="103"/>
      <c r="R795" s="103"/>
      <c r="S795" s="103"/>
      <c r="T795" s="103"/>
      <c r="U795" s="103"/>
      <c r="V795" s="103"/>
      <c r="W795" s="103"/>
      <c r="X795" s="103"/>
      <c r="Y795" s="103"/>
      <c r="Z795" s="103"/>
      <c r="AA795" s="103"/>
      <c r="AB795" s="103"/>
      <c r="AC795" s="103">
        <v>215</v>
      </c>
      <c r="AD795" s="103"/>
      <c r="AE795" s="103"/>
      <c r="AF795" s="103"/>
      <c r="AG795" s="103"/>
      <c r="AH795" s="103"/>
      <c r="AI795" s="103">
        <v>45</v>
      </c>
      <c r="AJ795" s="103"/>
      <c r="AK795" s="103"/>
      <c r="AL795" s="103"/>
      <c r="AM795" s="103"/>
      <c r="AN795" s="103">
        <v>5</v>
      </c>
      <c r="AO795" s="103">
        <v>10</v>
      </c>
      <c r="AP795" s="103">
        <v>35</v>
      </c>
      <c r="AQ795" s="103">
        <v>35</v>
      </c>
      <c r="AR795" s="103">
        <v>45</v>
      </c>
      <c r="AS795" s="103">
        <v>100</v>
      </c>
      <c r="AT795" s="103">
        <v>30</v>
      </c>
      <c r="AU795" s="103"/>
      <c r="AV795" s="103"/>
      <c r="AW795" s="104" t="str">
        <f>HYPERLINK("http://www.openstreetmap.org/?mlat=35.3089&amp;mlon=43.5425&amp;zoom=12#map=12/35.3089/43.5425","Maplink1")</f>
        <v>Maplink1</v>
      </c>
      <c r="AX795" s="104" t="str">
        <f>HYPERLINK("https://www.google.iq/maps/search/+35.3089,43.5425/@35.3089,43.5425,14z?hl=en","Maplink2")</f>
        <v>Maplink2</v>
      </c>
      <c r="AY795" s="104" t="str">
        <f>HYPERLINK("http://www.bing.com/maps/?lvl=14&amp;sty=h&amp;cp=35.3089~43.5425&amp;sp=point.35.3089_43.5425","Maplink3")</f>
        <v>Maplink3</v>
      </c>
    </row>
    <row r="796" spans="1:51" x14ac:dyDescent="0.2">
      <c r="A796" s="102">
        <v>33291</v>
      </c>
      <c r="B796" s="103" t="s">
        <v>34</v>
      </c>
      <c r="C796" s="103" t="s">
        <v>95</v>
      </c>
      <c r="D796" s="103" t="s">
        <v>1569</v>
      </c>
      <c r="E796" s="103" t="s">
        <v>1570</v>
      </c>
      <c r="F796" s="103">
        <v>35.370423000000002</v>
      </c>
      <c r="G796" s="103">
        <v>43.890409801300002</v>
      </c>
      <c r="H796" s="102">
        <v>96</v>
      </c>
      <c r="I796" s="102">
        <v>576</v>
      </c>
      <c r="J796" s="103"/>
      <c r="K796" s="103"/>
      <c r="L796" s="103"/>
      <c r="M796" s="103">
        <v>94</v>
      </c>
      <c r="N796" s="103">
        <v>2</v>
      </c>
      <c r="O796" s="103"/>
      <c r="P796" s="103"/>
      <c r="Q796" s="103"/>
      <c r="R796" s="103"/>
      <c r="S796" s="103"/>
      <c r="T796" s="103"/>
      <c r="U796" s="103"/>
      <c r="V796" s="103"/>
      <c r="W796" s="103"/>
      <c r="X796" s="103"/>
      <c r="Y796" s="103"/>
      <c r="Z796" s="103"/>
      <c r="AA796" s="103"/>
      <c r="AB796" s="103"/>
      <c r="AC796" s="103">
        <v>96</v>
      </c>
      <c r="AD796" s="103"/>
      <c r="AE796" s="103"/>
      <c r="AF796" s="103"/>
      <c r="AG796" s="103"/>
      <c r="AH796" s="103"/>
      <c r="AI796" s="103"/>
      <c r="AJ796" s="103"/>
      <c r="AK796" s="103"/>
      <c r="AL796" s="103"/>
      <c r="AM796" s="103"/>
      <c r="AN796" s="103">
        <v>10</v>
      </c>
      <c r="AO796" s="103"/>
      <c r="AP796" s="103">
        <v>20</v>
      </c>
      <c r="AQ796" s="103">
        <v>26</v>
      </c>
      <c r="AR796" s="103">
        <v>10</v>
      </c>
      <c r="AS796" s="103">
        <v>20</v>
      </c>
      <c r="AT796" s="103">
        <v>10</v>
      </c>
      <c r="AU796" s="103"/>
      <c r="AV796" s="103"/>
      <c r="AW796" s="104" t="str">
        <f>HYPERLINK("http://www.openstreetmap.org/?mlat=35.3704&amp;mlon=43.8904&amp;zoom=12#map=12/35.3704/43.8904","Maplink1")</f>
        <v>Maplink1</v>
      </c>
      <c r="AX796" s="104" t="str">
        <f>HYPERLINK("https://www.google.iq/maps/search/+35.3704,43.8904/@35.3704,43.8904,14z?hl=en","Maplink2")</f>
        <v>Maplink2</v>
      </c>
      <c r="AY796" s="104" t="str">
        <f>HYPERLINK("http://www.bing.com/maps/?lvl=14&amp;sty=h&amp;cp=35.3704~43.8904&amp;sp=point.35.3704_43.8904","Maplink3")</f>
        <v>Maplink3</v>
      </c>
    </row>
    <row r="797" spans="1:51" x14ac:dyDescent="0.2">
      <c r="A797" s="102">
        <v>15287</v>
      </c>
      <c r="B797" s="103" t="s">
        <v>34</v>
      </c>
      <c r="C797" s="103" t="s">
        <v>95</v>
      </c>
      <c r="D797" s="103" t="s">
        <v>1571</v>
      </c>
      <c r="E797" s="103" t="s">
        <v>1572</v>
      </c>
      <c r="F797" s="103">
        <v>35.341709999999999</v>
      </c>
      <c r="G797" s="103">
        <v>43.818782864399999</v>
      </c>
      <c r="H797" s="102">
        <v>144</v>
      </c>
      <c r="I797" s="102">
        <v>864</v>
      </c>
      <c r="J797" s="103"/>
      <c r="K797" s="103"/>
      <c r="L797" s="103"/>
      <c r="M797" s="103">
        <v>144</v>
      </c>
      <c r="N797" s="103"/>
      <c r="O797" s="103"/>
      <c r="P797" s="103"/>
      <c r="Q797" s="103"/>
      <c r="R797" s="103"/>
      <c r="S797" s="103"/>
      <c r="T797" s="103"/>
      <c r="U797" s="103"/>
      <c r="V797" s="103"/>
      <c r="W797" s="103"/>
      <c r="X797" s="103"/>
      <c r="Y797" s="103"/>
      <c r="Z797" s="103"/>
      <c r="AA797" s="103"/>
      <c r="AB797" s="103"/>
      <c r="AC797" s="103">
        <v>132</v>
      </c>
      <c r="AD797" s="103"/>
      <c r="AE797" s="103"/>
      <c r="AF797" s="103"/>
      <c r="AG797" s="103">
        <v>1</v>
      </c>
      <c r="AH797" s="103"/>
      <c r="AI797" s="103">
        <v>11</v>
      </c>
      <c r="AJ797" s="103"/>
      <c r="AK797" s="103"/>
      <c r="AL797" s="103"/>
      <c r="AM797" s="103"/>
      <c r="AN797" s="103">
        <v>15</v>
      </c>
      <c r="AO797" s="103">
        <v>12</v>
      </c>
      <c r="AP797" s="103">
        <v>28</v>
      </c>
      <c r="AQ797" s="103">
        <v>34</v>
      </c>
      <c r="AR797" s="103">
        <v>25</v>
      </c>
      <c r="AS797" s="103">
        <v>15</v>
      </c>
      <c r="AT797" s="103">
        <v>15</v>
      </c>
      <c r="AU797" s="103"/>
      <c r="AV797" s="103"/>
      <c r="AW797" s="104" t="str">
        <f>HYPERLINK("http://www.openstreetmap.org/?mlat=35.3417&amp;mlon=43.8188&amp;zoom=12#map=12/35.3417/43.8188","Maplink1")</f>
        <v>Maplink1</v>
      </c>
      <c r="AX797" s="104" t="str">
        <f>HYPERLINK("https://www.google.iq/maps/search/+35.3417,43.8188/@35.3417,43.8188,14z?hl=en","Maplink2")</f>
        <v>Maplink2</v>
      </c>
      <c r="AY797" s="104" t="str">
        <f>HYPERLINK("http://www.bing.com/maps/?lvl=14&amp;sty=h&amp;cp=35.3417~43.8188&amp;sp=point.35.3417_43.8188","Maplink3")</f>
        <v>Maplink3</v>
      </c>
    </row>
    <row r="798" spans="1:51" x14ac:dyDescent="0.2">
      <c r="A798" s="102">
        <v>33851</v>
      </c>
      <c r="B798" s="103" t="s">
        <v>34</v>
      </c>
      <c r="C798" s="103" t="s">
        <v>95</v>
      </c>
      <c r="D798" s="103" t="s">
        <v>1573</v>
      </c>
      <c r="E798" s="103" t="s">
        <v>1574</v>
      </c>
      <c r="F798" s="103">
        <v>35.475200000000001</v>
      </c>
      <c r="G798" s="103">
        <v>43.812620000000003</v>
      </c>
      <c r="H798" s="102">
        <v>110</v>
      </c>
      <c r="I798" s="102">
        <v>660</v>
      </c>
      <c r="J798" s="103"/>
      <c r="K798" s="103"/>
      <c r="L798" s="103"/>
      <c r="M798" s="103">
        <v>110</v>
      </c>
      <c r="N798" s="103"/>
      <c r="O798" s="103"/>
      <c r="P798" s="103"/>
      <c r="Q798" s="103"/>
      <c r="R798" s="103"/>
      <c r="S798" s="103"/>
      <c r="T798" s="103"/>
      <c r="U798" s="103"/>
      <c r="V798" s="103"/>
      <c r="W798" s="103"/>
      <c r="X798" s="103"/>
      <c r="Y798" s="103"/>
      <c r="Z798" s="103"/>
      <c r="AA798" s="103"/>
      <c r="AB798" s="103"/>
      <c r="AC798" s="103">
        <v>90</v>
      </c>
      <c r="AD798" s="103"/>
      <c r="AE798" s="103"/>
      <c r="AF798" s="103"/>
      <c r="AG798" s="103"/>
      <c r="AH798" s="103"/>
      <c r="AI798" s="103">
        <v>20</v>
      </c>
      <c r="AJ798" s="103"/>
      <c r="AK798" s="103"/>
      <c r="AL798" s="103"/>
      <c r="AM798" s="103"/>
      <c r="AN798" s="103"/>
      <c r="AO798" s="103"/>
      <c r="AP798" s="103">
        <v>15</v>
      </c>
      <c r="AQ798" s="103">
        <v>30</v>
      </c>
      <c r="AR798" s="103">
        <v>30</v>
      </c>
      <c r="AS798" s="103">
        <v>35</v>
      </c>
      <c r="AT798" s="103"/>
      <c r="AU798" s="103"/>
      <c r="AV798" s="103"/>
      <c r="AW798" s="104" t="str">
        <f>HYPERLINK("http://www.openstreetmap.org/?mlat=35.4752&amp;mlon=43.8126&amp;zoom=12#map=12/35.4752/43.8126","Maplink1")</f>
        <v>Maplink1</v>
      </c>
      <c r="AX798" s="104" t="str">
        <f>HYPERLINK("https://www.google.iq/maps/search/+35.4752,43.8126/@35.4752,43.8126,14z?hl=en","Maplink2")</f>
        <v>Maplink2</v>
      </c>
      <c r="AY798" s="104" t="str">
        <f>HYPERLINK("http://www.bing.com/maps/?lvl=14&amp;sty=h&amp;cp=35.4752~43.8126&amp;sp=point.35.4752_43.8126","Maplink3")</f>
        <v>Maplink3</v>
      </c>
    </row>
    <row r="799" spans="1:51" x14ac:dyDescent="0.2">
      <c r="A799" s="102">
        <v>15313</v>
      </c>
      <c r="B799" s="103" t="s">
        <v>34</v>
      </c>
      <c r="C799" s="103" t="s">
        <v>95</v>
      </c>
      <c r="D799" s="103" t="s">
        <v>1663</v>
      </c>
      <c r="E799" s="103" t="s">
        <v>1664</v>
      </c>
      <c r="F799" s="103">
        <v>35.358718000000003</v>
      </c>
      <c r="G799" s="103">
        <v>43.6529789788</v>
      </c>
      <c r="H799" s="102">
        <v>618</v>
      </c>
      <c r="I799" s="102">
        <v>3708</v>
      </c>
      <c r="J799" s="103"/>
      <c r="K799" s="103"/>
      <c r="L799" s="103"/>
      <c r="M799" s="103">
        <v>616</v>
      </c>
      <c r="N799" s="103">
        <v>2</v>
      </c>
      <c r="O799" s="103"/>
      <c r="P799" s="103"/>
      <c r="Q799" s="103"/>
      <c r="R799" s="103"/>
      <c r="S799" s="103"/>
      <c r="T799" s="103"/>
      <c r="U799" s="103"/>
      <c r="V799" s="103"/>
      <c r="W799" s="103"/>
      <c r="X799" s="103"/>
      <c r="Y799" s="103"/>
      <c r="Z799" s="103"/>
      <c r="AA799" s="103"/>
      <c r="AB799" s="103"/>
      <c r="AC799" s="103">
        <v>618</v>
      </c>
      <c r="AD799" s="103"/>
      <c r="AE799" s="103"/>
      <c r="AF799" s="103"/>
      <c r="AG799" s="103"/>
      <c r="AH799" s="103"/>
      <c r="AI799" s="103"/>
      <c r="AJ799" s="103"/>
      <c r="AK799" s="103"/>
      <c r="AL799" s="103"/>
      <c r="AM799" s="103"/>
      <c r="AN799" s="103">
        <v>35</v>
      </c>
      <c r="AO799" s="103">
        <v>50</v>
      </c>
      <c r="AP799" s="103">
        <v>70</v>
      </c>
      <c r="AQ799" s="103">
        <v>90</v>
      </c>
      <c r="AR799" s="103">
        <v>124</v>
      </c>
      <c r="AS799" s="103">
        <v>150</v>
      </c>
      <c r="AT799" s="103">
        <v>99</v>
      </c>
      <c r="AU799" s="103"/>
      <c r="AV799" s="103"/>
      <c r="AW799" s="104" t="str">
        <f>HYPERLINK("http://www.openstreetmap.org/?mlat=35.3587&amp;mlon=43.653&amp;zoom=12#map=12/35.3587/43.653","Maplink1")</f>
        <v>Maplink1</v>
      </c>
      <c r="AX799" s="104" t="str">
        <f>HYPERLINK("https://www.google.iq/maps/search/+35.3587,43.653/@35.3587,43.653,14z?hl=en","Maplink2")</f>
        <v>Maplink2</v>
      </c>
      <c r="AY799" s="104" t="str">
        <f>HYPERLINK("http://www.bing.com/maps/?lvl=14&amp;sty=h&amp;cp=35.3587~43.653&amp;sp=point.35.3587_43.653","Maplink3")</f>
        <v>Maplink3</v>
      </c>
    </row>
    <row r="800" spans="1:51" x14ac:dyDescent="0.2">
      <c r="A800" s="102">
        <v>15264</v>
      </c>
      <c r="B800" s="103" t="s">
        <v>34</v>
      </c>
      <c r="C800" s="103" t="s">
        <v>95</v>
      </c>
      <c r="D800" s="103" t="s">
        <v>1665</v>
      </c>
      <c r="E800" s="103" t="s">
        <v>1666</v>
      </c>
      <c r="F800" s="103">
        <v>35.32208</v>
      </c>
      <c r="G800" s="103">
        <v>43.794047638800002</v>
      </c>
      <c r="H800" s="102">
        <v>300</v>
      </c>
      <c r="I800" s="102">
        <v>1800</v>
      </c>
      <c r="J800" s="103"/>
      <c r="K800" s="103"/>
      <c r="L800" s="103"/>
      <c r="M800" s="103">
        <v>290</v>
      </c>
      <c r="N800" s="103">
        <v>10</v>
      </c>
      <c r="O800" s="103"/>
      <c r="P800" s="103"/>
      <c r="Q800" s="103"/>
      <c r="R800" s="103"/>
      <c r="S800" s="103"/>
      <c r="T800" s="103"/>
      <c r="U800" s="103"/>
      <c r="V800" s="103"/>
      <c r="W800" s="103"/>
      <c r="X800" s="103"/>
      <c r="Y800" s="103"/>
      <c r="Z800" s="103"/>
      <c r="AA800" s="103"/>
      <c r="AB800" s="103"/>
      <c r="AC800" s="103">
        <v>270</v>
      </c>
      <c r="AD800" s="103"/>
      <c r="AE800" s="103"/>
      <c r="AF800" s="103"/>
      <c r="AG800" s="103"/>
      <c r="AH800" s="103"/>
      <c r="AI800" s="103">
        <v>30</v>
      </c>
      <c r="AJ800" s="103"/>
      <c r="AK800" s="103"/>
      <c r="AL800" s="103"/>
      <c r="AM800" s="103"/>
      <c r="AN800" s="103">
        <v>25</v>
      </c>
      <c r="AO800" s="103">
        <v>30</v>
      </c>
      <c r="AP800" s="103">
        <v>35</v>
      </c>
      <c r="AQ800" s="103">
        <v>55</v>
      </c>
      <c r="AR800" s="103">
        <v>75</v>
      </c>
      <c r="AS800" s="103">
        <v>50</v>
      </c>
      <c r="AT800" s="103">
        <v>30</v>
      </c>
      <c r="AU800" s="103"/>
      <c r="AV800" s="103"/>
      <c r="AW800" s="104" t="str">
        <f>HYPERLINK("http://www.openstreetmap.org/?mlat=35.3221&amp;mlon=43.794&amp;zoom=12#map=12/35.3221/43.794","Maplink1")</f>
        <v>Maplink1</v>
      </c>
      <c r="AX800" s="104" t="str">
        <f>HYPERLINK("https://www.google.iq/maps/search/+35.3221,43.794/@35.3221,43.794,14z?hl=en","Maplink2")</f>
        <v>Maplink2</v>
      </c>
      <c r="AY800" s="104" t="str">
        <f>HYPERLINK("http://www.bing.com/maps/?lvl=14&amp;sty=h&amp;cp=35.3221~43.794&amp;sp=point.35.3221_43.794","Maplink3")</f>
        <v>Maplink3</v>
      </c>
    </row>
    <row r="801" spans="1:51" x14ac:dyDescent="0.2">
      <c r="A801" s="102">
        <v>15300</v>
      </c>
      <c r="B801" s="103" t="s">
        <v>34</v>
      </c>
      <c r="C801" s="103" t="s">
        <v>95</v>
      </c>
      <c r="D801" s="103" t="s">
        <v>1667</v>
      </c>
      <c r="E801" s="103" t="s">
        <v>1668</v>
      </c>
      <c r="F801" s="103">
        <v>35.347900000000003</v>
      </c>
      <c r="G801" s="103">
        <v>43.3721647383</v>
      </c>
      <c r="H801" s="102">
        <v>65</v>
      </c>
      <c r="I801" s="102">
        <v>390</v>
      </c>
      <c r="J801" s="103"/>
      <c r="K801" s="103"/>
      <c r="L801" s="103"/>
      <c r="M801" s="103">
        <v>65</v>
      </c>
      <c r="N801" s="103"/>
      <c r="O801" s="103"/>
      <c r="P801" s="103"/>
      <c r="Q801" s="103"/>
      <c r="R801" s="103"/>
      <c r="S801" s="103"/>
      <c r="T801" s="103"/>
      <c r="U801" s="103"/>
      <c r="V801" s="103"/>
      <c r="W801" s="103"/>
      <c r="X801" s="103"/>
      <c r="Y801" s="103"/>
      <c r="Z801" s="103"/>
      <c r="AA801" s="103"/>
      <c r="AB801" s="103"/>
      <c r="AC801" s="103">
        <v>35</v>
      </c>
      <c r="AD801" s="103"/>
      <c r="AE801" s="103"/>
      <c r="AF801" s="103"/>
      <c r="AG801" s="103"/>
      <c r="AH801" s="103"/>
      <c r="AI801" s="103">
        <v>30</v>
      </c>
      <c r="AJ801" s="103"/>
      <c r="AK801" s="103"/>
      <c r="AL801" s="103"/>
      <c r="AM801" s="103"/>
      <c r="AN801" s="103"/>
      <c r="AO801" s="103">
        <v>10</v>
      </c>
      <c r="AP801" s="103">
        <v>10</v>
      </c>
      <c r="AQ801" s="103">
        <v>15</v>
      </c>
      <c r="AR801" s="103">
        <v>10</v>
      </c>
      <c r="AS801" s="103">
        <v>10</v>
      </c>
      <c r="AT801" s="103">
        <v>10</v>
      </c>
      <c r="AU801" s="103"/>
      <c r="AV801" s="103"/>
      <c r="AW801" s="104" t="str">
        <f>HYPERLINK("http://www.openstreetmap.org/?mlat=35.3479&amp;mlon=43.3722&amp;zoom=12#map=12/35.3479/43.3722","Maplink1")</f>
        <v>Maplink1</v>
      </c>
      <c r="AX801" s="104" t="str">
        <f>HYPERLINK("https://www.google.iq/maps/search/+35.3479,43.3722/@35.3479,43.3722,14z?hl=en","Maplink2")</f>
        <v>Maplink2</v>
      </c>
      <c r="AY801" s="104" t="str">
        <f>HYPERLINK("http://www.bing.com/maps/?lvl=14&amp;sty=h&amp;cp=35.3479~43.3722&amp;sp=point.35.3479_43.3722","Maplink3")</f>
        <v>Maplink3</v>
      </c>
    </row>
    <row r="802" spans="1:51" x14ac:dyDescent="0.2">
      <c r="A802" s="102">
        <v>14944</v>
      </c>
      <c r="B802" s="103" t="s">
        <v>34</v>
      </c>
      <c r="C802" s="103" t="s">
        <v>95</v>
      </c>
      <c r="D802" s="103" t="s">
        <v>1669</v>
      </c>
      <c r="E802" s="103" t="s">
        <v>1670</v>
      </c>
      <c r="F802" s="103">
        <v>35.119190000000003</v>
      </c>
      <c r="G802" s="103">
        <v>43.5731290847</v>
      </c>
      <c r="H802" s="102">
        <v>65</v>
      </c>
      <c r="I802" s="102">
        <v>390</v>
      </c>
      <c r="J802" s="103"/>
      <c r="K802" s="103"/>
      <c r="L802" s="103"/>
      <c r="M802" s="103">
        <v>60</v>
      </c>
      <c r="N802" s="103">
        <v>5</v>
      </c>
      <c r="O802" s="103"/>
      <c r="P802" s="103"/>
      <c r="Q802" s="103"/>
      <c r="R802" s="103"/>
      <c r="S802" s="103"/>
      <c r="T802" s="103"/>
      <c r="U802" s="103"/>
      <c r="V802" s="103"/>
      <c r="W802" s="103"/>
      <c r="X802" s="103"/>
      <c r="Y802" s="103"/>
      <c r="Z802" s="103"/>
      <c r="AA802" s="103"/>
      <c r="AB802" s="103"/>
      <c r="AC802" s="103">
        <v>43</v>
      </c>
      <c r="AD802" s="103"/>
      <c r="AE802" s="103"/>
      <c r="AF802" s="103"/>
      <c r="AG802" s="103"/>
      <c r="AH802" s="103"/>
      <c r="AI802" s="103">
        <v>22</v>
      </c>
      <c r="AJ802" s="103"/>
      <c r="AK802" s="103"/>
      <c r="AL802" s="103"/>
      <c r="AM802" s="103"/>
      <c r="AN802" s="103">
        <v>5</v>
      </c>
      <c r="AO802" s="103"/>
      <c r="AP802" s="103"/>
      <c r="AQ802" s="103">
        <v>15</v>
      </c>
      <c r="AR802" s="103">
        <v>13</v>
      </c>
      <c r="AS802" s="103">
        <v>17</v>
      </c>
      <c r="AT802" s="103">
        <v>15</v>
      </c>
      <c r="AU802" s="103"/>
      <c r="AV802" s="103"/>
      <c r="AW802" s="104" t="str">
        <f>HYPERLINK("http://www.openstreetmap.org/?mlat=35.1192&amp;mlon=43.5731&amp;zoom=12#map=12/35.1192/43.5731","Maplink1")</f>
        <v>Maplink1</v>
      </c>
      <c r="AX802" s="104" t="str">
        <f>HYPERLINK("https://www.google.iq/maps/search/+35.1192,43.5731/@35.1192,43.5731,14z?hl=en","Maplink2")</f>
        <v>Maplink2</v>
      </c>
      <c r="AY802" s="104" t="str">
        <f>HYPERLINK("http://www.bing.com/maps/?lvl=14&amp;sty=h&amp;cp=35.1192~43.5731&amp;sp=point.35.1192_43.5731","Maplink3")</f>
        <v>Maplink3</v>
      </c>
    </row>
    <row r="803" spans="1:51" x14ac:dyDescent="0.2">
      <c r="A803" s="102">
        <v>21551</v>
      </c>
      <c r="B803" s="103" t="s">
        <v>34</v>
      </c>
      <c r="C803" s="103" t="s">
        <v>95</v>
      </c>
      <c r="D803" s="103" t="s">
        <v>1671</v>
      </c>
      <c r="E803" s="103" t="s">
        <v>1672</v>
      </c>
      <c r="F803" s="103">
        <v>35.322279999999999</v>
      </c>
      <c r="G803" s="103">
        <v>43.763859394999997</v>
      </c>
      <c r="H803" s="102">
        <v>435</v>
      </c>
      <c r="I803" s="102">
        <v>2610</v>
      </c>
      <c r="J803" s="103"/>
      <c r="K803" s="103"/>
      <c r="L803" s="103">
        <v>15</v>
      </c>
      <c r="M803" s="103">
        <v>415</v>
      </c>
      <c r="N803" s="103">
        <v>5</v>
      </c>
      <c r="O803" s="103"/>
      <c r="P803" s="103"/>
      <c r="Q803" s="103"/>
      <c r="R803" s="103"/>
      <c r="S803" s="103"/>
      <c r="T803" s="103"/>
      <c r="U803" s="103"/>
      <c r="V803" s="103"/>
      <c r="W803" s="103"/>
      <c r="X803" s="103"/>
      <c r="Y803" s="103"/>
      <c r="Z803" s="103"/>
      <c r="AA803" s="103"/>
      <c r="AB803" s="103"/>
      <c r="AC803" s="103">
        <v>360</v>
      </c>
      <c r="AD803" s="103"/>
      <c r="AE803" s="103"/>
      <c r="AF803" s="103"/>
      <c r="AG803" s="103"/>
      <c r="AH803" s="103"/>
      <c r="AI803" s="103">
        <v>75</v>
      </c>
      <c r="AJ803" s="103"/>
      <c r="AK803" s="103"/>
      <c r="AL803" s="103"/>
      <c r="AM803" s="103"/>
      <c r="AN803" s="103">
        <v>40</v>
      </c>
      <c r="AO803" s="103">
        <v>65</v>
      </c>
      <c r="AP803" s="103">
        <v>70</v>
      </c>
      <c r="AQ803" s="103">
        <v>80</v>
      </c>
      <c r="AR803" s="103">
        <v>95</v>
      </c>
      <c r="AS803" s="103">
        <v>55</v>
      </c>
      <c r="AT803" s="103">
        <v>30</v>
      </c>
      <c r="AU803" s="103"/>
      <c r="AV803" s="103"/>
      <c r="AW803" s="104" t="str">
        <f>HYPERLINK("http://www.openstreetmap.org/?mlat=35.3223&amp;mlon=43.7639&amp;zoom=12#map=12/35.3223/43.7639","Maplink1")</f>
        <v>Maplink1</v>
      </c>
      <c r="AX803" s="104" t="str">
        <f>HYPERLINK("https://www.google.iq/maps/search/+35.3223,43.7639/@35.3223,43.7639,14z?hl=en","Maplink2")</f>
        <v>Maplink2</v>
      </c>
      <c r="AY803" s="104" t="str">
        <f>HYPERLINK("http://www.bing.com/maps/?lvl=14&amp;sty=h&amp;cp=35.3223~43.7639&amp;sp=point.35.3223_43.7639","Maplink3")</f>
        <v>Maplink3</v>
      </c>
    </row>
    <row r="804" spans="1:51" x14ac:dyDescent="0.2">
      <c r="A804" s="102">
        <v>15283</v>
      </c>
      <c r="B804" s="103" t="s">
        <v>34</v>
      </c>
      <c r="C804" s="103" t="s">
        <v>95</v>
      </c>
      <c r="D804" s="103" t="s">
        <v>1673</v>
      </c>
      <c r="E804" s="103" t="s">
        <v>1674</v>
      </c>
      <c r="F804" s="103">
        <v>35.337139999999998</v>
      </c>
      <c r="G804" s="103">
        <v>43.8386618105</v>
      </c>
      <c r="H804" s="102">
        <v>45</v>
      </c>
      <c r="I804" s="102">
        <v>270</v>
      </c>
      <c r="J804" s="103"/>
      <c r="K804" s="103"/>
      <c r="L804" s="103"/>
      <c r="M804" s="103">
        <v>45</v>
      </c>
      <c r="N804" s="103"/>
      <c r="O804" s="103"/>
      <c r="P804" s="103"/>
      <c r="Q804" s="103"/>
      <c r="R804" s="103"/>
      <c r="S804" s="103"/>
      <c r="T804" s="103"/>
      <c r="U804" s="103"/>
      <c r="V804" s="103"/>
      <c r="W804" s="103"/>
      <c r="X804" s="103"/>
      <c r="Y804" s="103"/>
      <c r="Z804" s="103"/>
      <c r="AA804" s="103"/>
      <c r="AB804" s="103"/>
      <c r="AC804" s="103">
        <v>41</v>
      </c>
      <c r="AD804" s="103"/>
      <c r="AE804" s="103"/>
      <c r="AF804" s="103"/>
      <c r="AG804" s="103"/>
      <c r="AH804" s="103"/>
      <c r="AI804" s="103">
        <v>4</v>
      </c>
      <c r="AJ804" s="103"/>
      <c r="AK804" s="103"/>
      <c r="AL804" s="103"/>
      <c r="AM804" s="103"/>
      <c r="AN804" s="103"/>
      <c r="AO804" s="103">
        <v>5</v>
      </c>
      <c r="AP804" s="103">
        <v>5</v>
      </c>
      <c r="AQ804" s="103">
        <v>10</v>
      </c>
      <c r="AR804" s="103">
        <v>15</v>
      </c>
      <c r="AS804" s="103">
        <v>10</v>
      </c>
      <c r="AT804" s="103"/>
      <c r="AU804" s="103"/>
      <c r="AV804" s="103"/>
      <c r="AW804" s="104" t="str">
        <f>HYPERLINK("http://www.openstreetmap.org/?mlat=35.3371&amp;mlon=43.8387&amp;zoom=12#map=12/35.3371/43.8387","Maplink1")</f>
        <v>Maplink1</v>
      </c>
      <c r="AX804" s="104" t="str">
        <f>HYPERLINK("https://www.google.iq/maps/search/+35.3371,43.8387/@35.3371,43.8387,14z?hl=en","Maplink2")</f>
        <v>Maplink2</v>
      </c>
      <c r="AY804" s="104" t="str">
        <f>HYPERLINK("http://www.bing.com/maps/?lvl=14&amp;sty=h&amp;cp=35.3371~43.8387&amp;sp=point.35.3371_43.8387","Maplink3")</f>
        <v>Maplink3</v>
      </c>
    </row>
    <row r="805" spans="1:51" x14ac:dyDescent="0.2">
      <c r="A805" s="102">
        <v>24364</v>
      </c>
      <c r="B805" s="103" t="s">
        <v>34</v>
      </c>
      <c r="C805" s="103" t="s">
        <v>95</v>
      </c>
      <c r="D805" s="103" t="s">
        <v>1643</v>
      </c>
      <c r="E805" s="103" t="s">
        <v>1644</v>
      </c>
      <c r="F805" s="103">
        <v>35.5092</v>
      </c>
      <c r="G805" s="103">
        <v>43.812970342100002</v>
      </c>
      <c r="H805" s="102">
        <v>225</v>
      </c>
      <c r="I805" s="102">
        <v>1350</v>
      </c>
      <c r="J805" s="103"/>
      <c r="K805" s="103"/>
      <c r="L805" s="103"/>
      <c r="M805" s="103">
        <v>220</v>
      </c>
      <c r="N805" s="103">
        <v>5</v>
      </c>
      <c r="O805" s="103"/>
      <c r="P805" s="103"/>
      <c r="Q805" s="103"/>
      <c r="R805" s="103"/>
      <c r="S805" s="103"/>
      <c r="T805" s="103"/>
      <c r="U805" s="103"/>
      <c r="V805" s="103"/>
      <c r="W805" s="103"/>
      <c r="X805" s="103"/>
      <c r="Y805" s="103"/>
      <c r="Z805" s="103"/>
      <c r="AA805" s="103"/>
      <c r="AB805" s="103"/>
      <c r="AC805" s="103">
        <v>125</v>
      </c>
      <c r="AD805" s="103"/>
      <c r="AE805" s="103"/>
      <c r="AF805" s="103"/>
      <c r="AG805" s="103">
        <v>70</v>
      </c>
      <c r="AH805" s="103"/>
      <c r="AI805" s="103">
        <v>30</v>
      </c>
      <c r="AJ805" s="103"/>
      <c r="AK805" s="103"/>
      <c r="AL805" s="103"/>
      <c r="AM805" s="103"/>
      <c r="AN805" s="103"/>
      <c r="AO805" s="103">
        <v>10</v>
      </c>
      <c r="AP805" s="103">
        <v>30</v>
      </c>
      <c r="AQ805" s="103">
        <v>55</v>
      </c>
      <c r="AR805" s="103">
        <v>60</v>
      </c>
      <c r="AS805" s="103">
        <v>55</v>
      </c>
      <c r="AT805" s="103">
        <v>15</v>
      </c>
      <c r="AU805" s="103"/>
      <c r="AV805" s="103"/>
      <c r="AW805" s="104" t="str">
        <f>HYPERLINK("http://www.openstreetmap.org/?mlat=35.5092&amp;mlon=43.813&amp;zoom=12#map=12/35.5092/43.813","Maplink1")</f>
        <v>Maplink1</v>
      </c>
      <c r="AX805" s="104" t="str">
        <f>HYPERLINK("https://www.google.iq/maps/search/+35.5092,43.813/@35.5092,43.813,14z?hl=en","Maplink2")</f>
        <v>Maplink2</v>
      </c>
      <c r="AY805" s="104" t="str">
        <f>HYPERLINK("http://www.bing.com/maps/?lvl=14&amp;sty=h&amp;cp=35.5092~43.813&amp;sp=point.35.5092_43.813","Maplink3")</f>
        <v>Maplink3</v>
      </c>
    </row>
    <row r="806" spans="1:51" x14ac:dyDescent="0.2">
      <c r="A806" s="102">
        <v>14934</v>
      </c>
      <c r="B806" s="103" t="s">
        <v>34</v>
      </c>
      <c r="C806" s="103" t="s">
        <v>95</v>
      </c>
      <c r="D806" s="103" t="s">
        <v>1645</v>
      </c>
      <c r="E806" s="103" t="s">
        <v>1646</v>
      </c>
      <c r="F806" s="103">
        <v>35.491101999999998</v>
      </c>
      <c r="G806" s="103">
        <v>43.7942513076</v>
      </c>
      <c r="H806" s="102">
        <v>465</v>
      </c>
      <c r="I806" s="102">
        <v>2790</v>
      </c>
      <c r="J806" s="103"/>
      <c r="K806" s="103"/>
      <c r="L806" s="103"/>
      <c r="M806" s="103">
        <v>465</v>
      </c>
      <c r="N806" s="103"/>
      <c r="O806" s="103"/>
      <c r="P806" s="103"/>
      <c r="Q806" s="103"/>
      <c r="R806" s="103"/>
      <c r="S806" s="103"/>
      <c r="T806" s="103"/>
      <c r="U806" s="103"/>
      <c r="V806" s="103"/>
      <c r="W806" s="103"/>
      <c r="X806" s="103"/>
      <c r="Y806" s="103"/>
      <c r="Z806" s="103"/>
      <c r="AA806" s="103"/>
      <c r="AB806" s="103"/>
      <c r="AC806" s="103">
        <v>440</v>
      </c>
      <c r="AD806" s="103"/>
      <c r="AE806" s="103"/>
      <c r="AF806" s="103"/>
      <c r="AG806" s="103">
        <v>10</v>
      </c>
      <c r="AH806" s="103"/>
      <c r="AI806" s="103">
        <v>15</v>
      </c>
      <c r="AJ806" s="103"/>
      <c r="AK806" s="103"/>
      <c r="AL806" s="103"/>
      <c r="AM806" s="103"/>
      <c r="AN806" s="103"/>
      <c r="AO806" s="103"/>
      <c r="AP806" s="103"/>
      <c r="AQ806" s="103">
        <v>85</v>
      </c>
      <c r="AR806" s="103">
        <v>202</v>
      </c>
      <c r="AS806" s="103">
        <v>90</v>
      </c>
      <c r="AT806" s="103">
        <v>88</v>
      </c>
      <c r="AU806" s="103"/>
      <c r="AV806" s="103"/>
      <c r="AW806" s="104" t="str">
        <f>HYPERLINK("http://www.openstreetmap.org/?mlat=35.4911&amp;mlon=43.7943&amp;zoom=12#map=12/35.4911/43.7943","Maplink1")</f>
        <v>Maplink1</v>
      </c>
      <c r="AX806" s="104" t="str">
        <f>HYPERLINK("https://www.google.iq/maps/search/+35.4911,43.7943/@35.4911,43.7943,14z?hl=en","Maplink2")</f>
        <v>Maplink2</v>
      </c>
      <c r="AY806" s="104" t="str">
        <f>HYPERLINK("http://www.bing.com/maps/?lvl=14&amp;sty=h&amp;cp=35.4911~43.7943&amp;sp=point.35.4911_43.7943","Maplink3")</f>
        <v>Maplink3</v>
      </c>
    </row>
    <row r="807" spans="1:51" x14ac:dyDescent="0.2">
      <c r="A807" s="102">
        <v>15416</v>
      </c>
      <c r="B807" s="103" t="s">
        <v>34</v>
      </c>
      <c r="C807" s="103" t="s">
        <v>95</v>
      </c>
      <c r="D807" s="103" t="s">
        <v>1647</v>
      </c>
      <c r="E807" s="103" t="s">
        <v>1648</v>
      </c>
      <c r="F807" s="103">
        <v>35.472569</v>
      </c>
      <c r="G807" s="103">
        <v>43.760655142300003</v>
      </c>
      <c r="H807" s="102">
        <v>684</v>
      </c>
      <c r="I807" s="102">
        <v>4104</v>
      </c>
      <c r="J807" s="103"/>
      <c r="K807" s="103"/>
      <c r="L807" s="103"/>
      <c r="M807" s="103">
        <v>679</v>
      </c>
      <c r="N807" s="103">
        <v>5</v>
      </c>
      <c r="O807" s="103"/>
      <c r="P807" s="103"/>
      <c r="Q807" s="103"/>
      <c r="R807" s="103"/>
      <c r="S807" s="103"/>
      <c r="T807" s="103"/>
      <c r="U807" s="103"/>
      <c r="V807" s="103"/>
      <c r="W807" s="103"/>
      <c r="X807" s="103"/>
      <c r="Y807" s="103"/>
      <c r="Z807" s="103"/>
      <c r="AA807" s="103"/>
      <c r="AB807" s="103"/>
      <c r="AC807" s="103">
        <v>554</v>
      </c>
      <c r="AD807" s="103"/>
      <c r="AE807" s="103"/>
      <c r="AF807" s="103"/>
      <c r="AG807" s="103">
        <v>50</v>
      </c>
      <c r="AH807" s="103"/>
      <c r="AI807" s="103">
        <v>80</v>
      </c>
      <c r="AJ807" s="103"/>
      <c r="AK807" s="103"/>
      <c r="AL807" s="103"/>
      <c r="AM807" s="103"/>
      <c r="AN807" s="103"/>
      <c r="AO807" s="103">
        <v>15</v>
      </c>
      <c r="AP807" s="103">
        <v>25</v>
      </c>
      <c r="AQ807" s="103">
        <v>140</v>
      </c>
      <c r="AR807" s="103">
        <v>190</v>
      </c>
      <c r="AS807" s="103">
        <v>144</v>
      </c>
      <c r="AT807" s="103">
        <v>170</v>
      </c>
      <c r="AU807" s="103"/>
      <c r="AV807" s="103"/>
      <c r="AW807" s="104" t="str">
        <f>HYPERLINK("http://www.openstreetmap.org/?mlat=35.4726&amp;mlon=43.7607&amp;zoom=12#map=12/35.4726/43.7607","Maplink1")</f>
        <v>Maplink1</v>
      </c>
      <c r="AX807" s="104" t="str">
        <f>HYPERLINK("https://www.google.iq/maps/search/+35.4726,43.7607/@35.4726,43.7607,14z?hl=en","Maplink2")</f>
        <v>Maplink2</v>
      </c>
      <c r="AY807" s="104" t="str">
        <f>HYPERLINK("http://www.bing.com/maps/?lvl=14&amp;sty=h&amp;cp=35.4726~43.7607&amp;sp=point.35.4726_43.7607","Maplink3")</f>
        <v>Maplink3</v>
      </c>
    </row>
    <row r="808" spans="1:51" x14ac:dyDescent="0.2">
      <c r="A808" s="102">
        <v>14661</v>
      </c>
      <c r="B808" s="103" t="s">
        <v>34</v>
      </c>
      <c r="C808" s="103" t="s">
        <v>95</v>
      </c>
      <c r="D808" s="103" t="s">
        <v>1649</v>
      </c>
      <c r="E808" s="103" t="s">
        <v>1650</v>
      </c>
      <c r="F808" s="103">
        <v>35.411499999999997</v>
      </c>
      <c r="G808" s="103">
        <v>43.679800567500003</v>
      </c>
      <c r="H808" s="102">
        <v>230</v>
      </c>
      <c r="I808" s="102">
        <v>1380</v>
      </c>
      <c r="J808" s="103"/>
      <c r="K808" s="103"/>
      <c r="L808" s="103"/>
      <c r="M808" s="103">
        <v>230</v>
      </c>
      <c r="N808" s="103"/>
      <c r="O808" s="103"/>
      <c r="P808" s="103"/>
      <c r="Q808" s="103"/>
      <c r="R808" s="103"/>
      <c r="S808" s="103"/>
      <c r="T808" s="103"/>
      <c r="U808" s="103"/>
      <c r="V808" s="103"/>
      <c r="W808" s="103"/>
      <c r="X808" s="103"/>
      <c r="Y808" s="103"/>
      <c r="Z808" s="103"/>
      <c r="AA808" s="103"/>
      <c r="AB808" s="103"/>
      <c r="AC808" s="103">
        <v>230</v>
      </c>
      <c r="AD808" s="103"/>
      <c r="AE808" s="103"/>
      <c r="AF808" s="103"/>
      <c r="AG808" s="103"/>
      <c r="AH808" s="103"/>
      <c r="AI808" s="103"/>
      <c r="AJ808" s="103"/>
      <c r="AK808" s="103"/>
      <c r="AL808" s="103"/>
      <c r="AM808" s="103"/>
      <c r="AN808" s="103">
        <v>5</v>
      </c>
      <c r="AO808" s="103">
        <v>10</v>
      </c>
      <c r="AP808" s="103">
        <v>25</v>
      </c>
      <c r="AQ808" s="103">
        <v>30</v>
      </c>
      <c r="AR808" s="103">
        <v>50</v>
      </c>
      <c r="AS808" s="103">
        <v>65</v>
      </c>
      <c r="AT808" s="103">
        <v>45</v>
      </c>
      <c r="AU808" s="103"/>
      <c r="AV808" s="103"/>
      <c r="AW808" s="104" t="str">
        <f>HYPERLINK("http://www.openstreetmap.org/?mlat=35.4115&amp;mlon=43.6798&amp;zoom=12#map=12/35.4115/43.6798","Maplink1")</f>
        <v>Maplink1</v>
      </c>
      <c r="AX808" s="104" t="str">
        <f>HYPERLINK("https://www.google.iq/maps/search/+35.4115,43.6798/@35.4115,43.6798,14z?hl=en","Maplink2")</f>
        <v>Maplink2</v>
      </c>
      <c r="AY808" s="104" t="str">
        <f>HYPERLINK("http://www.bing.com/maps/?lvl=14&amp;sty=h&amp;cp=35.4115~43.6798&amp;sp=point.35.4115_43.6798","Maplink3")</f>
        <v>Maplink3</v>
      </c>
    </row>
    <row r="809" spans="1:51" x14ac:dyDescent="0.2">
      <c r="A809" s="102">
        <v>14999</v>
      </c>
      <c r="B809" s="103" t="s">
        <v>34</v>
      </c>
      <c r="C809" s="103" t="s">
        <v>95</v>
      </c>
      <c r="D809" s="103" t="s">
        <v>1651</v>
      </c>
      <c r="E809" s="103" t="s">
        <v>1652</v>
      </c>
      <c r="F809" s="103">
        <v>35.277630000000002</v>
      </c>
      <c r="G809" s="103">
        <v>43.392566816799999</v>
      </c>
      <c r="H809" s="102">
        <v>50</v>
      </c>
      <c r="I809" s="102">
        <v>300</v>
      </c>
      <c r="J809" s="103"/>
      <c r="K809" s="103"/>
      <c r="L809" s="103"/>
      <c r="M809" s="103">
        <v>50</v>
      </c>
      <c r="N809" s="103"/>
      <c r="O809" s="103"/>
      <c r="P809" s="103"/>
      <c r="Q809" s="103"/>
      <c r="R809" s="103"/>
      <c r="S809" s="103"/>
      <c r="T809" s="103"/>
      <c r="U809" s="103"/>
      <c r="V809" s="103"/>
      <c r="W809" s="103">
        <v>4</v>
      </c>
      <c r="X809" s="103"/>
      <c r="Y809" s="103"/>
      <c r="Z809" s="103"/>
      <c r="AA809" s="103">
        <v>2</v>
      </c>
      <c r="AB809" s="103"/>
      <c r="AC809" s="103">
        <v>32</v>
      </c>
      <c r="AD809" s="103"/>
      <c r="AE809" s="103"/>
      <c r="AF809" s="103"/>
      <c r="AG809" s="103"/>
      <c r="AH809" s="103"/>
      <c r="AI809" s="103">
        <v>10</v>
      </c>
      <c r="AJ809" s="103">
        <v>2</v>
      </c>
      <c r="AK809" s="103"/>
      <c r="AL809" s="103"/>
      <c r="AM809" s="103"/>
      <c r="AN809" s="103">
        <v>5</v>
      </c>
      <c r="AO809" s="103"/>
      <c r="AP809" s="103">
        <v>10</v>
      </c>
      <c r="AQ809" s="103">
        <v>10</v>
      </c>
      <c r="AR809" s="103">
        <v>10</v>
      </c>
      <c r="AS809" s="103">
        <v>15</v>
      </c>
      <c r="AT809" s="103"/>
      <c r="AU809" s="103"/>
      <c r="AV809" s="103"/>
      <c r="AW809" s="104" t="str">
        <f>HYPERLINK("http://www.openstreetmap.org/?mlat=35.2776&amp;mlon=43.3926&amp;zoom=12#map=12/35.2776/43.3926","Maplink1")</f>
        <v>Maplink1</v>
      </c>
      <c r="AX809" s="104" t="str">
        <f>HYPERLINK("https://www.google.iq/maps/search/+35.2776,43.3926/@35.2776,43.3926,14z?hl=en","Maplink2")</f>
        <v>Maplink2</v>
      </c>
      <c r="AY809" s="104" t="str">
        <f>HYPERLINK("http://www.bing.com/maps/?lvl=14&amp;sty=h&amp;cp=35.2776~43.3926&amp;sp=point.35.2776_43.3926","Maplink3")</f>
        <v>Maplink3</v>
      </c>
    </row>
    <row r="810" spans="1:51" x14ac:dyDescent="0.2">
      <c r="A810" s="102">
        <v>33397</v>
      </c>
      <c r="B810" s="103" t="s">
        <v>34</v>
      </c>
      <c r="C810" s="103" t="s">
        <v>95</v>
      </c>
      <c r="D810" s="103" t="s">
        <v>1653</v>
      </c>
      <c r="E810" s="103" t="s">
        <v>1654</v>
      </c>
      <c r="F810" s="103">
        <v>35.320419999999999</v>
      </c>
      <c r="G810" s="103">
        <v>43.750389732400002</v>
      </c>
      <c r="H810" s="102">
        <v>45</v>
      </c>
      <c r="I810" s="102">
        <v>270</v>
      </c>
      <c r="J810" s="103"/>
      <c r="K810" s="103"/>
      <c r="L810" s="103"/>
      <c r="M810" s="103">
        <v>45</v>
      </c>
      <c r="N810" s="103"/>
      <c r="O810" s="103"/>
      <c r="P810" s="103"/>
      <c r="Q810" s="103"/>
      <c r="R810" s="103"/>
      <c r="S810" s="103"/>
      <c r="T810" s="103"/>
      <c r="U810" s="103"/>
      <c r="V810" s="103"/>
      <c r="W810" s="103">
        <v>5</v>
      </c>
      <c r="X810" s="103"/>
      <c r="Y810" s="103"/>
      <c r="Z810" s="103"/>
      <c r="AA810" s="103"/>
      <c r="AB810" s="103"/>
      <c r="AC810" s="103">
        <v>29</v>
      </c>
      <c r="AD810" s="103"/>
      <c r="AE810" s="103"/>
      <c r="AF810" s="103"/>
      <c r="AG810" s="103"/>
      <c r="AH810" s="103"/>
      <c r="AI810" s="103">
        <v>11</v>
      </c>
      <c r="AJ810" s="103"/>
      <c r="AK810" s="103"/>
      <c r="AL810" s="103"/>
      <c r="AM810" s="103"/>
      <c r="AN810" s="103"/>
      <c r="AO810" s="103">
        <v>5</v>
      </c>
      <c r="AP810" s="103">
        <v>5</v>
      </c>
      <c r="AQ810" s="103">
        <v>5</v>
      </c>
      <c r="AR810" s="103">
        <v>12</v>
      </c>
      <c r="AS810" s="103">
        <v>15</v>
      </c>
      <c r="AT810" s="103">
        <v>3</v>
      </c>
      <c r="AU810" s="103"/>
      <c r="AV810" s="103"/>
      <c r="AW810" s="104" t="str">
        <f>HYPERLINK("http://www.openstreetmap.org/?mlat=35.3204&amp;mlon=43.7504&amp;zoom=12#map=12/35.3204/43.7504","Maplink1")</f>
        <v>Maplink1</v>
      </c>
      <c r="AX810" s="104" t="str">
        <f>HYPERLINK("https://www.google.iq/maps/search/+35.3204,43.7504/@35.3204,43.7504,14z?hl=en","Maplink2")</f>
        <v>Maplink2</v>
      </c>
      <c r="AY810" s="104" t="str">
        <f>HYPERLINK("http://www.bing.com/maps/?lvl=14&amp;sty=h&amp;cp=35.3204~43.7504&amp;sp=point.35.3204_43.7504","Maplink3")</f>
        <v>Maplink3</v>
      </c>
    </row>
    <row r="811" spans="1:51" x14ac:dyDescent="0.2">
      <c r="A811" s="102">
        <v>33574</v>
      </c>
      <c r="B811" s="103" t="s">
        <v>34</v>
      </c>
      <c r="C811" s="103" t="s">
        <v>95</v>
      </c>
      <c r="D811" s="103" t="s">
        <v>1655</v>
      </c>
      <c r="E811" s="103" t="s">
        <v>1656</v>
      </c>
      <c r="F811" s="103">
        <v>35.314779999999999</v>
      </c>
      <c r="G811" s="103">
        <v>43.807744154600002</v>
      </c>
      <c r="H811" s="102">
        <v>37</v>
      </c>
      <c r="I811" s="102">
        <v>222</v>
      </c>
      <c r="J811" s="103"/>
      <c r="K811" s="103"/>
      <c r="L811" s="103"/>
      <c r="M811" s="103">
        <v>37</v>
      </c>
      <c r="N811" s="103"/>
      <c r="O811" s="103"/>
      <c r="P811" s="103"/>
      <c r="Q811" s="103"/>
      <c r="R811" s="103"/>
      <c r="S811" s="103"/>
      <c r="T811" s="103"/>
      <c r="U811" s="103"/>
      <c r="V811" s="103"/>
      <c r="W811" s="103"/>
      <c r="X811" s="103"/>
      <c r="Y811" s="103"/>
      <c r="Z811" s="103"/>
      <c r="AA811" s="103"/>
      <c r="AB811" s="103"/>
      <c r="AC811" s="103">
        <v>35</v>
      </c>
      <c r="AD811" s="103"/>
      <c r="AE811" s="103"/>
      <c r="AF811" s="103"/>
      <c r="AG811" s="103"/>
      <c r="AH811" s="103"/>
      <c r="AI811" s="103">
        <v>2</v>
      </c>
      <c r="AJ811" s="103"/>
      <c r="AK811" s="103"/>
      <c r="AL811" s="103"/>
      <c r="AM811" s="103"/>
      <c r="AN811" s="103">
        <v>5</v>
      </c>
      <c r="AO811" s="103">
        <v>5</v>
      </c>
      <c r="AP811" s="103">
        <v>10</v>
      </c>
      <c r="AQ811" s="103">
        <v>10</v>
      </c>
      <c r="AR811" s="103">
        <v>5</v>
      </c>
      <c r="AS811" s="103">
        <v>1</v>
      </c>
      <c r="AT811" s="103">
        <v>1</v>
      </c>
      <c r="AU811" s="103"/>
      <c r="AV811" s="103"/>
      <c r="AW811" s="104" t="str">
        <f>HYPERLINK("http://www.openstreetmap.org/?mlat=35.3148&amp;mlon=43.8077&amp;zoom=12#map=12/35.3148/43.8077","Maplink1")</f>
        <v>Maplink1</v>
      </c>
      <c r="AX811" s="104" t="str">
        <f>HYPERLINK("https://www.google.iq/maps/search/+35.3148,43.8077/@35.3148,43.8077,14z?hl=en","Maplink2")</f>
        <v>Maplink2</v>
      </c>
      <c r="AY811" s="104" t="str">
        <f>HYPERLINK("http://www.bing.com/maps/?lvl=14&amp;sty=h&amp;cp=35.3148~43.8077&amp;sp=point.35.3148_43.8077","Maplink3")</f>
        <v>Maplink3</v>
      </c>
    </row>
    <row r="812" spans="1:51" x14ac:dyDescent="0.2">
      <c r="A812" s="102">
        <v>14820</v>
      </c>
      <c r="B812" s="103" t="s">
        <v>34</v>
      </c>
      <c r="C812" s="103" t="s">
        <v>95</v>
      </c>
      <c r="D812" s="103" t="s">
        <v>1804</v>
      </c>
      <c r="E812" s="103" t="s">
        <v>1805</v>
      </c>
      <c r="F812" s="103">
        <v>35.387340000000002</v>
      </c>
      <c r="G812" s="103">
        <v>43.921231415999998</v>
      </c>
      <c r="H812" s="102">
        <v>167</v>
      </c>
      <c r="I812" s="102">
        <v>1002</v>
      </c>
      <c r="J812" s="103"/>
      <c r="K812" s="103"/>
      <c r="L812" s="103"/>
      <c r="M812" s="103">
        <v>162</v>
      </c>
      <c r="N812" s="103">
        <v>5</v>
      </c>
      <c r="O812" s="103"/>
      <c r="P812" s="103"/>
      <c r="Q812" s="103"/>
      <c r="R812" s="103"/>
      <c r="S812" s="103"/>
      <c r="T812" s="103"/>
      <c r="U812" s="103"/>
      <c r="V812" s="103"/>
      <c r="W812" s="103"/>
      <c r="X812" s="103"/>
      <c r="Y812" s="103"/>
      <c r="Z812" s="103"/>
      <c r="AA812" s="103"/>
      <c r="AB812" s="103"/>
      <c r="AC812" s="103">
        <v>167</v>
      </c>
      <c r="AD812" s="103"/>
      <c r="AE812" s="103"/>
      <c r="AF812" s="103"/>
      <c r="AG812" s="103"/>
      <c r="AH812" s="103"/>
      <c r="AI812" s="103"/>
      <c r="AJ812" s="103"/>
      <c r="AK812" s="103"/>
      <c r="AL812" s="103"/>
      <c r="AM812" s="103"/>
      <c r="AN812" s="103"/>
      <c r="AO812" s="103"/>
      <c r="AP812" s="103">
        <v>30</v>
      </c>
      <c r="AQ812" s="103">
        <v>22</v>
      </c>
      <c r="AR812" s="103">
        <v>35</v>
      </c>
      <c r="AS812" s="103">
        <v>35</v>
      </c>
      <c r="AT812" s="103">
        <v>45</v>
      </c>
      <c r="AU812" s="103"/>
      <c r="AV812" s="103"/>
      <c r="AW812" s="104" t="str">
        <f>HYPERLINK("http://www.openstreetmap.org/?mlat=35.3873&amp;mlon=43.9212&amp;zoom=12#map=12/35.3873/43.9212","Maplink1")</f>
        <v>Maplink1</v>
      </c>
      <c r="AX812" s="104" t="str">
        <f>HYPERLINK("https://www.google.iq/maps/search/+35.3873,43.9212/@35.3873,43.9212,14z?hl=en","Maplink2")</f>
        <v>Maplink2</v>
      </c>
      <c r="AY812" s="104" t="str">
        <f>HYPERLINK("http://www.bing.com/maps/?lvl=14&amp;sty=h&amp;cp=35.3873~43.9212&amp;sp=point.35.3873_43.9212","Maplink3")</f>
        <v>Maplink3</v>
      </c>
    </row>
    <row r="813" spans="1:51" x14ac:dyDescent="0.2">
      <c r="A813" s="102">
        <v>15341</v>
      </c>
      <c r="B813" s="103" t="s">
        <v>34</v>
      </c>
      <c r="C813" s="103" t="s">
        <v>95</v>
      </c>
      <c r="D813" s="103" t="s">
        <v>1806</v>
      </c>
      <c r="E813" s="103" t="s">
        <v>1807</v>
      </c>
      <c r="F813" s="103">
        <v>35.376224999999998</v>
      </c>
      <c r="G813" s="103">
        <v>43.903092746200002</v>
      </c>
      <c r="H813" s="102">
        <v>72</v>
      </c>
      <c r="I813" s="102">
        <v>432</v>
      </c>
      <c r="J813" s="103"/>
      <c r="K813" s="103"/>
      <c r="L813" s="103"/>
      <c r="M813" s="103">
        <v>72</v>
      </c>
      <c r="N813" s="103"/>
      <c r="O813" s="103"/>
      <c r="P813" s="103"/>
      <c r="Q813" s="103"/>
      <c r="R813" s="103"/>
      <c r="S813" s="103"/>
      <c r="T813" s="103"/>
      <c r="U813" s="103"/>
      <c r="V813" s="103"/>
      <c r="W813" s="103"/>
      <c r="X813" s="103"/>
      <c r="Y813" s="103"/>
      <c r="Z813" s="103"/>
      <c r="AA813" s="103"/>
      <c r="AB813" s="103"/>
      <c r="AC813" s="103">
        <v>28</v>
      </c>
      <c r="AD813" s="103"/>
      <c r="AE813" s="103"/>
      <c r="AF813" s="103"/>
      <c r="AG813" s="103"/>
      <c r="AH813" s="103"/>
      <c r="AI813" s="103">
        <v>44</v>
      </c>
      <c r="AJ813" s="103"/>
      <c r="AK813" s="103"/>
      <c r="AL813" s="103"/>
      <c r="AM813" s="103"/>
      <c r="AN813" s="103"/>
      <c r="AO813" s="103"/>
      <c r="AP813" s="103">
        <v>15</v>
      </c>
      <c r="AQ813" s="103">
        <v>40</v>
      </c>
      <c r="AR813" s="103">
        <v>16</v>
      </c>
      <c r="AS813" s="103">
        <v>1</v>
      </c>
      <c r="AT813" s="103"/>
      <c r="AU813" s="103"/>
      <c r="AV813" s="103"/>
      <c r="AW813" s="104" t="str">
        <f>HYPERLINK("http://www.openstreetmap.org/?mlat=35.3762&amp;mlon=43.9031&amp;zoom=12#map=12/35.3762/43.9031","Maplink1")</f>
        <v>Maplink1</v>
      </c>
      <c r="AX813" s="104" t="str">
        <f>HYPERLINK("https://www.google.iq/maps/search/+35.3762,43.9031/@35.3762,43.9031,14z?hl=en","Maplink2")</f>
        <v>Maplink2</v>
      </c>
      <c r="AY813" s="104" t="str">
        <f>HYPERLINK("http://www.bing.com/maps/?lvl=14&amp;sty=h&amp;cp=35.3762~43.9031&amp;sp=point.35.3762_43.9031","Maplink3")</f>
        <v>Maplink3</v>
      </c>
    </row>
    <row r="814" spans="1:51" x14ac:dyDescent="0.2">
      <c r="A814" s="102">
        <v>33852</v>
      </c>
      <c r="B814" s="103" t="s">
        <v>34</v>
      </c>
      <c r="C814" s="103" t="s">
        <v>95</v>
      </c>
      <c r="D814" s="103" t="s">
        <v>1808</v>
      </c>
      <c r="E814" s="103" t="s">
        <v>1809</v>
      </c>
      <c r="F814" s="103">
        <v>35.432009999999998</v>
      </c>
      <c r="G814" s="103">
        <v>43.778910000000003</v>
      </c>
      <c r="H814" s="102">
        <v>100</v>
      </c>
      <c r="I814" s="102">
        <v>600</v>
      </c>
      <c r="J814" s="103"/>
      <c r="K814" s="103"/>
      <c r="L814" s="103"/>
      <c r="M814" s="103">
        <v>100</v>
      </c>
      <c r="N814" s="103"/>
      <c r="O814" s="103"/>
      <c r="P814" s="103"/>
      <c r="Q814" s="103"/>
      <c r="R814" s="103"/>
      <c r="S814" s="103"/>
      <c r="T814" s="103"/>
      <c r="U814" s="103"/>
      <c r="V814" s="103"/>
      <c r="W814" s="103"/>
      <c r="X814" s="103"/>
      <c r="Y814" s="103"/>
      <c r="Z814" s="103"/>
      <c r="AA814" s="103"/>
      <c r="AB814" s="103"/>
      <c r="AC814" s="103">
        <v>60</v>
      </c>
      <c r="AD814" s="103"/>
      <c r="AE814" s="103"/>
      <c r="AF814" s="103"/>
      <c r="AG814" s="103"/>
      <c r="AH814" s="103"/>
      <c r="AI814" s="103">
        <v>40</v>
      </c>
      <c r="AJ814" s="103"/>
      <c r="AK814" s="103"/>
      <c r="AL814" s="103"/>
      <c r="AM814" s="103"/>
      <c r="AN814" s="103"/>
      <c r="AO814" s="103"/>
      <c r="AP814" s="103">
        <v>10</v>
      </c>
      <c r="AQ814" s="103">
        <v>10</v>
      </c>
      <c r="AR814" s="103">
        <v>40</v>
      </c>
      <c r="AS814" s="103">
        <v>35</v>
      </c>
      <c r="AT814" s="103">
        <v>5</v>
      </c>
      <c r="AU814" s="103"/>
      <c r="AV814" s="103"/>
      <c r="AW814" s="104" t="str">
        <f>HYPERLINK("http://www.openstreetmap.org/?mlat=35.432&amp;mlon=43.7789&amp;zoom=12#map=12/35.432/43.7789","Maplink1")</f>
        <v>Maplink1</v>
      </c>
      <c r="AX814" s="104" t="str">
        <f>HYPERLINK("https://www.google.iq/maps/search/+35.432,43.7789/@35.432,43.7789,14z?hl=en","Maplink2")</f>
        <v>Maplink2</v>
      </c>
      <c r="AY814" s="104" t="str">
        <f>HYPERLINK("http://www.bing.com/maps/?lvl=14&amp;sty=h&amp;cp=35.432~43.7789&amp;sp=point.35.432_43.7789","Maplink3")</f>
        <v>Maplink3</v>
      </c>
    </row>
    <row r="815" spans="1:51" x14ac:dyDescent="0.2">
      <c r="A815" s="102">
        <v>15317</v>
      </c>
      <c r="B815" s="103" t="s">
        <v>34</v>
      </c>
      <c r="C815" s="103" t="s">
        <v>95</v>
      </c>
      <c r="D815" s="103" t="s">
        <v>1796</v>
      </c>
      <c r="E815" s="103" t="s">
        <v>1797</v>
      </c>
      <c r="F815" s="103">
        <v>35.363799999999998</v>
      </c>
      <c r="G815" s="103">
        <v>43.713298895900003</v>
      </c>
      <c r="H815" s="102">
        <v>222</v>
      </c>
      <c r="I815" s="102">
        <v>1332</v>
      </c>
      <c r="J815" s="103"/>
      <c r="K815" s="103"/>
      <c r="L815" s="103"/>
      <c r="M815" s="103">
        <v>222</v>
      </c>
      <c r="N815" s="103"/>
      <c r="O815" s="103"/>
      <c r="P815" s="103"/>
      <c r="Q815" s="103"/>
      <c r="R815" s="103"/>
      <c r="S815" s="103"/>
      <c r="T815" s="103"/>
      <c r="U815" s="103"/>
      <c r="V815" s="103"/>
      <c r="W815" s="103"/>
      <c r="X815" s="103"/>
      <c r="Y815" s="103"/>
      <c r="Z815" s="103"/>
      <c r="AA815" s="103"/>
      <c r="AB815" s="103"/>
      <c r="AC815" s="103">
        <v>202</v>
      </c>
      <c r="AD815" s="103"/>
      <c r="AE815" s="103"/>
      <c r="AF815" s="103"/>
      <c r="AG815" s="103"/>
      <c r="AH815" s="103"/>
      <c r="AI815" s="103">
        <v>20</v>
      </c>
      <c r="AJ815" s="103"/>
      <c r="AK815" s="103"/>
      <c r="AL815" s="103"/>
      <c r="AM815" s="103"/>
      <c r="AN815" s="103">
        <v>25</v>
      </c>
      <c r="AO815" s="103">
        <v>2</v>
      </c>
      <c r="AP815" s="103">
        <v>9</v>
      </c>
      <c r="AQ815" s="103">
        <v>30</v>
      </c>
      <c r="AR815" s="103">
        <v>66</v>
      </c>
      <c r="AS815" s="103">
        <v>65</v>
      </c>
      <c r="AT815" s="103">
        <v>25</v>
      </c>
      <c r="AU815" s="103"/>
      <c r="AV815" s="103"/>
      <c r="AW815" s="104" t="str">
        <f>HYPERLINK("http://www.openstreetmap.org/?mlat=35.3638&amp;mlon=43.7133&amp;zoom=12#map=12/35.3638/43.7133","Maplink1")</f>
        <v>Maplink1</v>
      </c>
      <c r="AX815" s="104" t="str">
        <f>HYPERLINK("https://www.google.iq/maps/search/+35.3638,43.7133/@35.3638,43.7133,14z?hl=en","Maplink2")</f>
        <v>Maplink2</v>
      </c>
      <c r="AY815" s="104" t="str">
        <f>HYPERLINK("http://www.bing.com/maps/?lvl=14&amp;sty=h&amp;cp=35.3638~43.7133&amp;sp=point.35.3638_43.7133","Maplink3")</f>
        <v>Maplink3</v>
      </c>
    </row>
    <row r="816" spans="1:51" x14ac:dyDescent="0.2">
      <c r="A816" s="102">
        <v>14803</v>
      </c>
      <c r="B816" s="103" t="s">
        <v>34</v>
      </c>
      <c r="C816" s="103" t="s">
        <v>95</v>
      </c>
      <c r="D816" s="103" t="s">
        <v>1798</v>
      </c>
      <c r="E816" s="103" t="s">
        <v>1799</v>
      </c>
      <c r="F816" s="103">
        <v>35.24</v>
      </c>
      <c r="G816" s="103">
        <v>43.606650039999998</v>
      </c>
      <c r="H816" s="102">
        <v>82</v>
      </c>
      <c r="I816" s="102">
        <v>492</v>
      </c>
      <c r="J816" s="103"/>
      <c r="K816" s="103"/>
      <c r="L816" s="103"/>
      <c r="M816" s="103">
        <v>82</v>
      </c>
      <c r="N816" s="103"/>
      <c r="O816" s="103"/>
      <c r="P816" s="103"/>
      <c r="Q816" s="103"/>
      <c r="R816" s="103"/>
      <c r="S816" s="103"/>
      <c r="T816" s="103"/>
      <c r="U816" s="103"/>
      <c r="V816" s="103"/>
      <c r="W816" s="103"/>
      <c r="X816" s="103"/>
      <c r="Y816" s="103"/>
      <c r="Z816" s="103"/>
      <c r="AA816" s="103"/>
      <c r="AB816" s="103"/>
      <c r="AC816" s="103">
        <v>72</v>
      </c>
      <c r="AD816" s="103"/>
      <c r="AE816" s="103"/>
      <c r="AF816" s="103"/>
      <c r="AG816" s="103"/>
      <c r="AH816" s="103"/>
      <c r="AI816" s="103">
        <v>10</v>
      </c>
      <c r="AJ816" s="103"/>
      <c r="AK816" s="103"/>
      <c r="AL816" s="103"/>
      <c r="AM816" s="103"/>
      <c r="AN816" s="103">
        <v>5</v>
      </c>
      <c r="AO816" s="103">
        <v>10</v>
      </c>
      <c r="AP816" s="103">
        <v>22</v>
      </c>
      <c r="AQ816" s="103">
        <v>5</v>
      </c>
      <c r="AR816" s="103">
        <v>15</v>
      </c>
      <c r="AS816" s="103">
        <v>20</v>
      </c>
      <c r="AT816" s="103">
        <v>5</v>
      </c>
      <c r="AU816" s="103"/>
      <c r="AV816" s="103"/>
      <c r="AW816" s="104" t="str">
        <f>HYPERLINK("http://www.openstreetmap.org/?mlat=35.24&amp;mlon=43.6067&amp;zoom=12#map=12/35.24/43.6067","Maplink1")</f>
        <v>Maplink1</v>
      </c>
      <c r="AX816" s="104" t="str">
        <f>HYPERLINK("https://www.google.iq/maps/search/+35.24,43.6067/@35.24,43.6067,14z?hl=en","Maplink2")</f>
        <v>Maplink2</v>
      </c>
      <c r="AY816" s="104" t="str">
        <f>HYPERLINK("http://www.bing.com/maps/?lvl=14&amp;sty=h&amp;cp=35.24~43.6067&amp;sp=point.35.24_43.6067","Maplink3")</f>
        <v>Maplink3</v>
      </c>
    </row>
    <row r="817" spans="1:51" x14ac:dyDescent="0.2">
      <c r="A817" s="102">
        <v>15353</v>
      </c>
      <c r="B817" s="103" t="s">
        <v>34</v>
      </c>
      <c r="C817" s="103" t="s">
        <v>95</v>
      </c>
      <c r="D817" s="103" t="s">
        <v>1759</v>
      </c>
      <c r="E817" s="103" t="s">
        <v>1760</v>
      </c>
      <c r="F817" s="103">
        <v>35.386972</v>
      </c>
      <c r="G817" s="103">
        <v>43.695743219199997</v>
      </c>
      <c r="H817" s="102">
        <v>325</v>
      </c>
      <c r="I817" s="102">
        <v>1950</v>
      </c>
      <c r="J817" s="103"/>
      <c r="K817" s="103"/>
      <c r="L817" s="103"/>
      <c r="M817" s="103">
        <v>325</v>
      </c>
      <c r="N817" s="103"/>
      <c r="O817" s="103"/>
      <c r="P817" s="103"/>
      <c r="Q817" s="103"/>
      <c r="R817" s="103"/>
      <c r="S817" s="103"/>
      <c r="T817" s="103"/>
      <c r="U817" s="103"/>
      <c r="V817" s="103"/>
      <c r="W817" s="103"/>
      <c r="X817" s="103"/>
      <c r="Y817" s="103"/>
      <c r="Z817" s="103"/>
      <c r="AA817" s="103"/>
      <c r="AB817" s="103"/>
      <c r="AC817" s="103">
        <v>310</v>
      </c>
      <c r="AD817" s="103"/>
      <c r="AE817" s="103"/>
      <c r="AF817" s="103"/>
      <c r="AG817" s="103"/>
      <c r="AH817" s="103"/>
      <c r="AI817" s="103">
        <v>15</v>
      </c>
      <c r="AJ817" s="103"/>
      <c r="AK817" s="103"/>
      <c r="AL817" s="103"/>
      <c r="AM817" s="103"/>
      <c r="AN817" s="103"/>
      <c r="AO817" s="103">
        <v>15</v>
      </c>
      <c r="AP817" s="103">
        <v>50</v>
      </c>
      <c r="AQ817" s="103">
        <v>65</v>
      </c>
      <c r="AR817" s="103">
        <v>70</v>
      </c>
      <c r="AS817" s="103">
        <v>80</v>
      </c>
      <c r="AT817" s="103">
        <v>45</v>
      </c>
      <c r="AU817" s="103"/>
      <c r="AV817" s="103"/>
      <c r="AW817" s="104" t="str">
        <f>HYPERLINK("http://www.openstreetmap.org/?mlat=35.387&amp;mlon=43.6957&amp;zoom=12#map=12/35.387/43.6957","Maplink1")</f>
        <v>Maplink1</v>
      </c>
      <c r="AX817" s="104" t="str">
        <f>HYPERLINK("https://www.google.iq/maps/search/+35.387,43.6957/@35.387,43.6957,14z?hl=en","Maplink2")</f>
        <v>Maplink2</v>
      </c>
      <c r="AY817" s="104" t="str">
        <f>HYPERLINK("http://www.bing.com/maps/?lvl=14&amp;sty=h&amp;cp=35.387~43.6957&amp;sp=point.35.387_43.6957","Maplink3")</f>
        <v>Maplink3</v>
      </c>
    </row>
    <row r="818" spans="1:51" x14ac:dyDescent="0.2">
      <c r="A818" s="102">
        <v>15393</v>
      </c>
      <c r="B818" s="103" t="s">
        <v>34</v>
      </c>
      <c r="C818" s="103" t="s">
        <v>95</v>
      </c>
      <c r="D818" s="103" t="s">
        <v>1761</v>
      </c>
      <c r="E818" s="103" t="s">
        <v>1762</v>
      </c>
      <c r="F818" s="103">
        <v>35.342399999999998</v>
      </c>
      <c r="G818" s="103">
        <v>44.005864884300003</v>
      </c>
      <c r="H818" s="102">
        <v>62</v>
      </c>
      <c r="I818" s="102">
        <v>372</v>
      </c>
      <c r="J818" s="103"/>
      <c r="K818" s="103"/>
      <c r="L818" s="103"/>
      <c r="M818" s="103">
        <v>60</v>
      </c>
      <c r="N818" s="103">
        <v>2</v>
      </c>
      <c r="O818" s="103"/>
      <c r="P818" s="103"/>
      <c r="Q818" s="103"/>
      <c r="R818" s="103"/>
      <c r="S818" s="103"/>
      <c r="T818" s="103"/>
      <c r="U818" s="103"/>
      <c r="V818" s="103"/>
      <c r="W818" s="103"/>
      <c r="X818" s="103"/>
      <c r="Y818" s="103"/>
      <c r="Z818" s="103"/>
      <c r="AA818" s="103"/>
      <c r="AB818" s="103"/>
      <c r="AC818" s="103">
        <v>62</v>
      </c>
      <c r="AD818" s="103"/>
      <c r="AE818" s="103"/>
      <c r="AF818" s="103"/>
      <c r="AG818" s="103"/>
      <c r="AH818" s="103"/>
      <c r="AI818" s="103"/>
      <c r="AJ818" s="103"/>
      <c r="AK818" s="103"/>
      <c r="AL818" s="103"/>
      <c r="AM818" s="103"/>
      <c r="AN818" s="103"/>
      <c r="AO818" s="103"/>
      <c r="AP818" s="103">
        <v>15</v>
      </c>
      <c r="AQ818" s="103"/>
      <c r="AR818" s="103">
        <v>10</v>
      </c>
      <c r="AS818" s="103">
        <v>27</v>
      </c>
      <c r="AT818" s="103">
        <v>10</v>
      </c>
      <c r="AU818" s="103"/>
      <c r="AV818" s="103"/>
      <c r="AW818" s="104" t="str">
        <f>HYPERLINK("http://www.openstreetmap.org/?mlat=35.3424&amp;mlon=44.0059&amp;zoom=12#map=12/35.3424/44.0059","Maplink1")</f>
        <v>Maplink1</v>
      </c>
      <c r="AX818" s="104" t="str">
        <f>HYPERLINK("https://www.google.iq/maps/search/+35.3424,44.0059/@35.3424,44.0059,14z?hl=en","Maplink2")</f>
        <v>Maplink2</v>
      </c>
      <c r="AY818" s="104" t="str">
        <f>HYPERLINK("http://www.bing.com/maps/?lvl=14&amp;sty=h&amp;cp=35.3424~44.0059&amp;sp=point.35.3424_44.0059","Maplink3")</f>
        <v>Maplink3</v>
      </c>
    </row>
    <row r="819" spans="1:51" x14ac:dyDescent="0.2">
      <c r="A819" s="102">
        <v>33481</v>
      </c>
      <c r="B819" s="103" t="s">
        <v>34</v>
      </c>
      <c r="C819" s="103" t="s">
        <v>95</v>
      </c>
      <c r="D819" s="103" t="s">
        <v>1763</v>
      </c>
      <c r="E819" s="103" t="s">
        <v>1764</v>
      </c>
      <c r="F819" s="103">
        <v>35.468400000000003</v>
      </c>
      <c r="G819" s="103">
        <v>43.897267005400003</v>
      </c>
      <c r="H819" s="102">
        <v>99</v>
      </c>
      <c r="I819" s="102">
        <v>594</v>
      </c>
      <c r="J819" s="103"/>
      <c r="K819" s="103"/>
      <c r="L819" s="103"/>
      <c r="M819" s="103">
        <v>99</v>
      </c>
      <c r="N819" s="103"/>
      <c r="O819" s="103"/>
      <c r="P819" s="103"/>
      <c r="Q819" s="103"/>
      <c r="R819" s="103"/>
      <c r="S819" s="103"/>
      <c r="T819" s="103"/>
      <c r="U819" s="103"/>
      <c r="V819" s="103"/>
      <c r="W819" s="103"/>
      <c r="X819" s="103"/>
      <c r="Y819" s="103"/>
      <c r="Z819" s="103"/>
      <c r="AA819" s="103"/>
      <c r="AB819" s="103"/>
      <c r="AC819" s="103">
        <v>94</v>
      </c>
      <c r="AD819" s="103"/>
      <c r="AE819" s="103"/>
      <c r="AF819" s="103"/>
      <c r="AG819" s="103"/>
      <c r="AH819" s="103"/>
      <c r="AI819" s="103">
        <v>5</v>
      </c>
      <c r="AJ819" s="103"/>
      <c r="AK819" s="103"/>
      <c r="AL819" s="103"/>
      <c r="AM819" s="103">
        <v>5</v>
      </c>
      <c r="AN819" s="103">
        <v>10</v>
      </c>
      <c r="AO819" s="103">
        <v>5</v>
      </c>
      <c r="AP819" s="103">
        <v>20</v>
      </c>
      <c r="AQ819" s="103">
        <v>29</v>
      </c>
      <c r="AR819" s="103">
        <v>25</v>
      </c>
      <c r="AS819" s="103">
        <v>5</v>
      </c>
      <c r="AT819" s="103"/>
      <c r="AU819" s="103"/>
      <c r="AV819" s="103"/>
      <c r="AW819" s="104" t="str">
        <f>HYPERLINK("http://www.openstreetmap.org/?mlat=35.4684&amp;mlon=43.8973&amp;zoom=12#map=12/35.4684/43.8973","Maplink1")</f>
        <v>Maplink1</v>
      </c>
      <c r="AX819" s="104" t="str">
        <f>HYPERLINK("https://www.google.iq/maps/search/+35.4684,43.8973/@35.4684,43.8973,14z?hl=en","Maplink2")</f>
        <v>Maplink2</v>
      </c>
      <c r="AY819" s="104" t="str">
        <f>HYPERLINK("http://www.bing.com/maps/?lvl=14&amp;sty=h&amp;cp=35.4684~43.8973&amp;sp=point.35.4684_43.8973","Maplink3")</f>
        <v>Maplink3</v>
      </c>
    </row>
    <row r="820" spans="1:51" x14ac:dyDescent="0.2">
      <c r="A820" s="102">
        <v>33305</v>
      </c>
      <c r="B820" s="103" t="s">
        <v>34</v>
      </c>
      <c r="C820" s="103" t="s">
        <v>95</v>
      </c>
      <c r="D820" s="103" t="s">
        <v>1657</v>
      </c>
      <c r="E820" s="103" t="s">
        <v>1658</v>
      </c>
      <c r="F820" s="103">
        <v>35.16769</v>
      </c>
      <c r="G820" s="103">
        <v>43.431443866899997</v>
      </c>
      <c r="H820" s="102">
        <v>46</v>
      </c>
      <c r="I820" s="102">
        <v>276</v>
      </c>
      <c r="J820" s="103"/>
      <c r="K820" s="103"/>
      <c r="L820" s="103"/>
      <c r="M820" s="103">
        <v>42</v>
      </c>
      <c r="N820" s="103">
        <v>4</v>
      </c>
      <c r="O820" s="103"/>
      <c r="P820" s="103"/>
      <c r="Q820" s="103"/>
      <c r="R820" s="103"/>
      <c r="S820" s="103"/>
      <c r="T820" s="103"/>
      <c r="U820" s="103"/>
      <c r="V820" s="103"/>
      <c r="W820" s="103"/>
      <c r="X820" s="103"/>
      <c r="Y820" s="103"/>
      <c r="Z820" s="103"/>
      <c r="AA820" s="103"/>
      <c r="AB820" s="103"/>
      <c r="AC820" s="103"/>
      <c r="AD820" s="103"/>
      <c r="AE820" s="103"/>
      <c r="AF820" s="103"/>
      <c r="AG820" s="103"/>
      <c r="AH820" s="103"/>
      <c r="AI820" s="103">
        <v>46</v>
      </c>
      <c r="AJ820" s="103"/>
      <c r="AK820" s="103"/>
      <c r="AL820" s="103"/>
      <c r="AM820" s="103"/>
      <c r="AN820" s="103"/>
      <c r="AO820" s="103"/>
      <c r="AP820" s="103">
        <v>5</v>
      </c>
      <c r="AQ820" s="103">
        <v>10</v>
      </c>
      <c r="AR820" s="103">
        <v>15</v>
      </c>
      <c r="AS820" s="103">
        <v>9</v>
      </c>
      <c r="AT820" s="103">
        <v>7</v>
      </c>
      <c r="AU820" s="103"/>
      <c r="AV820" s="103"/>
      <c r="AW820" s="104" t="str">
        <f>HYPERLINK("http://www.openstreetmap.org/?mlat=35.1677&amp;mlon=43.4314&amp;zoom=12#map=12/35.1677/43.4314","Maplink1")</f>
        <v>Maplink1</v>
      </c>
      <c r="AX820" s="104" t="str">
        <f>HYPERLINK("https://www.google.iq/maps/search/+35.1677,43.4314/@35.1677,43.4314,14z?hl=en","Maplink2")</f>
        <v>Maplink2</v>
      </c>
      <c r="AY820" s="104" t="str">
        <f>HYPERLINK("http://www.bing.com/maps/?lvl=14&amp;sty=h&amp;cp=35.1677~43.4314&amp;sp=point.35.1677_43.4314","Maplink3")</f>
        <v>Maplink3</v>
      </c>
    </row>
    <row r="821" spans="1:51" x14ac:dyDescent="0.2">
      <c r="A821" s="102">
        <v>15368</v>
      </c>
      <c r="B821" s="103" t="s">
        <v>34</v>
      </c>
      <c r="C821" s="103" t="s">
        <v>95</v>
      </c>
      <c r="D821" s="103" t="s">
        <v>1659</v>
      </c>
      <c r="E821" s="103" t="s">
        <v>1660</v>
      </c>
      <c r="F821" s="103">
        <v>35.402174000000002</v>
      </c>
      <c r="G821" s="103">
        <v>43.881219617500001</v>
      </c>
      <c r="H821" s="102">
        <v>108</v>
      </c>
      <c r="I821" s="102">
        <v>648</v>
      </c>
      <c r="J821" s="103"/>
      <c r="K821" s="103"/>
      <c r="L821" s="103"/>
      <c r="M821" s="103">
        <v>108</v>
      </c>
      <c r="N821" s="103"/>
      <c r="O821" s="103"/>
      <c r="P821" s="103"/>
      <c r="Q821" s="103"/>
      <c r="R821" s="103"/>
      <c r="S821" s="103"/>
      <c r="T821" s="103"/>
      <c r="U821" s="103"/>
      <c r="V821" s="103"/>
      <c r="W821" s="103"/>
      <c r="X821" s="103"/>
      <c r="Y821" s="103"/>
      <c r="Z821" s="103"/>
      <c r="AA821" s="103"/>
      <c r="AB821" s="103"/>
      <c r="AC821" s="103">
        <v>100</v>
      </c>
      <c r="AD821" s="103"/>
      <c r="AE821" s="103"/>
      <c r="AF821" s="103"/>
      <c r="AG821" s="103"/>
      <c r="AH821" s="103"/>
      <c r="AI821" s="103">
        <v>8</v>
      </c>
      <c r="AJ821" s="103"/>
      <c r="AK821" s="103"/>
      <c r="AL821" s="103"/>
      <c r="AM821" s="103"/>
      <c r="AN821" s="103"/>
      <c r="AO821" s="103">
        <v>4</v>
      </c>
      <c r="AP821" s="103">
        <v>15</v>
      </c>
      <c r="AQ821" s="103">
        <v>20</v>
      </c>
      <c r="AR821" s="103">
        <v>44</v>
      </c>
      <c r="AS821" s="103">
        <v>20</v>
      </c>
      <c r="AT821" s="103">
        <v>5</v>
      </c>
      <c r="AU821" s="103"/>
      <c r="AV821" s="103"/>
      <c r="AW821" s="104" t="str">
        <f>HYPERLINK("http://www.openstreetmap.org/?mlat=35.4022&amp;mlon=43.8812&amp;zoom=12#map=12/35.4022/43.8812","Maplink1")</f>
        <v>Maplink1</v>
      </c>
      <c r="AX821" s="104" t="str">
        <f>HYPERLINK("https://www.google.iq/maps/search/+35.4022,43.8812/@35.4022,43.8812,14z?hl=en","Maplink2")</f>
        <v>Maplink2</v>
      </c>
      <c r="AY821" s="104" t="str">
        <f>HYPERLINK("http://www.bing.com/maps/?lvl=14&amp;sty=h&amp;cp=35.4022~43.8812&amp;sp=point.35.4022_43.8812","Maplink3")</f>
        <v>Maplink3</v>
      </c>
    </row>
    <row r="822" spans="1:51" x14ac:dyDescent="0.2">
      <c r="A822" s="102">
        <v>15339</v>
      </c>
      <c r="B822" s="103" t="s">
        <v>34</v>
      </c>
      <c r="C822" s="103" t="s">
        <v>95</v>
      </c>
      <c r="D822" s="103" t="s">
        <v>1661</v>
      </c>
      <c r="E822" s="103" t="s">
        <v>1662</v>
      </c>
      <c r="F822" s="103">
        <v>35.381480000000003</v>
      </c>
      <c r="G822" s="103">
        <v>43.8724796371</v>
      </c>
      <c r="H822" s="102">
        <v>55</v>
      </c>
      <c r="I822" s="102">
        <v>330</v>
      </c>
      <c r="J822" s="103"/>
      <c r="K822" s="103"/>
      <c r="L822" s="103"/>
      <c r="M822" s="103">
        <v>55</v>
      </c>
      <c r="N822" s="103"/>
      <c r="O822" s="103"/>
      <c r="P822" s="103"/>
      <c r="Q822" s="103"/>
      <c r="R822" s="103"/>
      <c r="S822" s="103"/>
      <c r="T822" s="103"/>
      <c r="U822" s="103"/>
      <c r="V822" s="103"/>
      <c r="W822" s="103"/>
      <c r="X822" s="103"/>
      <c r="Y822" s="103"/>
      <c r="Z822" s="103"/>
      <c r="AA822" s="103"/>
      <c r="AB822" s="103"/>
      <c r="AC822" s="103">
        <v>40</v>
      </c>
      <c r="AD822" s="103"/>
      <c r="AE822" s="103"/>
      <c r="AF822" s="103"/>
      <c r="AG822" s="103"/>
      <c r="AH822" s="103"/>
      <c r="AI822" s="103">
        <v>15</v>
      </c>
      <c r="AJ822" s="103"/>
      <c r="AK822" s="103"/>
      <c r="AL822" s="103"/>
      <c r="AM822" s="103"/>
      <c r="AN822" s="103"/>
      <c r="AO822" s="103"/>
      <c r="AP822" s="103">
        <v>10</v>
      </c>
      <c r="AQ822" s="103">
        <v>5</v>
      </c>
      <c r="AR822" s="103">
        <v>20</v>
      </c>
      <c r="AS822" s="103">
        <v>20</v>
      </c>
      <c r="AT822" s="103"/>
      <c r="AU822" s="103"/>
      <c r="AV822" s="103"/>
      <c r="AW822" s="104" t="str">
        <f>HYPERLINK("http://www.openstreetmap.org/?mlat=35.3815&amp;mlon=43.8725&amp;zoom=12#map=12/35.3815/43.8725","Maplink1")</f>
        <v>Maplink1</v>
      </c>
      <c r="AX822" s="104" t="str">
        <f>HYPERLINK("https://www.google.iq/maps/search/+35.3815,43.8725/@35.3815,43.8725,14z?hl=en","Maplink2")</f>
        <v>Maplink2</v>
      </c>
      <c r="AY822" s="104" t="str">
        <f>HYPERLINK("http://www.bing.com/maps/?lvl=14&amp;sty=h&amp;cp=35.3815~43.8725&amp;sp=point.35.3815_43.8725","Maplink3")</f>
        <v>Maplink3</v>
      </c>
    </row>
    <row r="823" spans="1:51" x14ac:dyDescent="0.2">
      <c r="A823" s="102">
        <v>14980</v>
      </c>
      <c r="B823" s="103" t="s">
        <v>34</v>
      </c>
      <c r="C823" s="103" t="s">
        <v>95</v>
      </c>
      <c r="D823" s="103" t="s">
        <v>1635</v>
      </c>
      <c r="E823" s="103" t="s">
        <v>1636</v>
      </c>
      <c r="F823" s="103">
        <v>35.384</v>
      </c>
      <c r="G823" s="103">
        <v>43.7194578983</v>
      </c>
      <c r="H823" s="102">
        <v>46</v>
      </c>
      <c r="I823" s="102">
        <v>276</v>
      </c>
      <c r="J823" s="103"/>
      <c r="K823" s="103"/>
      <c r="L823" s="103"/>
      <c r="M823" s="103">
        <v>46</v>
      </c>
      <c r="N823" s="103"/>
      <c r="O823" s="103"/>
      <c r="P823" s="103"/>
      <c r="Q823" s="103"/>
      <c r="R823" s="103"/>
      <c r="S823" s="103"/>
      <c r="T823" s="103"/>
      <c r="U823" s="103"/>
      <c r="V823" s="103"/>
      <c r="W823" s="103"/>
      <c r="X823" s="103"/>
      <c r="Y823" s="103"/>
      <c r="Z823" s="103"/>
      <c r="AA823" s="103"/>
      <c r="AB823" s="103"/>
      <c r="AC823" s="103">
        <v>43</v>
      </c>
      <c r="AD823" s="103"/>
      <c r="AE823" s="103"/>
      <c r="AF823" s="103"/>
      <c r="AG823" s="103"/>
      <c r="AH823" s="103"/>
      <c r="AI823" s="103">
        <v>3</v>
      </c>
      <c r="AJ823" s="103"/>
      <c r="AK823" s="103"/>
      <c r="AL823" s="103"/>
      <c r="AM823" s="103"/>
      <c r="AN823" s="103"/>
      <c r="AO823" s="103">
        <v>20</v>
      </c>
      <c r="AP823" s="103"/>
      <c r="AQ823" s="103">
        <v>1</v>
      </c>
      <c r="AR823" s="103">
        <v>5</v>
      </c>
      <c r="AS823" s="103">
        <v>10</v>
      </c>
      <c r="AT823" s="103">
        <v>10</v>
      </c>
      <c r="AU823" s="103"/>
      <c r="AV823" s="103"/>
      <c r="AW823" s="104" t="str">
        <f>HYPERLINK("http://www.openstreetmap.org/?mlat=35.384&amp;mlon=43.7195&amp;zoom=12#map=12/35.384/43.7195","Maplink1")</f>
        <v>Maplink1</v>
      </c>
      <c r="AX823" s="104" t="str">
        <f>HYPERLINK("https://www.google.iq/maps/search/+35.384,43.7195/@35.384,43.7195,14z?hl=en","Maplink2")</f>
        <v>Maplink2</v>
      </c>
      <c r="AY823" s="104" t="str">
        <f>HYPERLINK("http://www.bing.com/maps/?lvl=14&amp;sty=h&amp;cp=35.384~43.7195&amp;sp=point.35.384_43.7195","Maplink3")</f>
        <v>Maplink3</v>
      </c>
    </row>
    <row r="824" spans="1:51" x14ac:dyDescent="0.2">
      <c r="A824" s="102">
        <v>15325</v>
      </c>
      <c r="B824" s="103" t="s">
        <v>34</v>
      </c>
      <c r="C824" s="103" t="s">
        <v>95</v>
      </c>
      <c r="D824" s="103" t="s">
        <v>1637</v>
      </c>
      <c r="E824" s="103" t="s">
        <v>1638</v>
      </c>
      <c r="F824" s="103">
        <v>35.370840000000001</v>
      </c>
      <c r="G824" s="103">
        <v>43.765978613500003</v>
      </c>
      <c r="H824" s="102">
        <v>21</v>
      </c>
      <c r="I824" s="102">
        <v>126</v>
      </c>
      <c r="J824" s="103"/>
      <c r="K824" s="103"/>
      <c r="L824" s="103"/>
      <c r="M824" s="103">
        <v>21</v>
      </c>
      <c r="N824" s="103"/>
      <c r="O824" s="103"/>
      <c r="P824" s="103"/>
      <c r="Q824" s="103"/>
      <c r="R824" s="103"/>
      <c r="S824" s="103"/>
      <c r="T824" s="103"/>
      <c r="U824" s="103"/>
      <c r="V824" s="103"/>
      <c r="W824" s="103"/>
      <c r="X824" s="103"/>
      <c r="Y824" s="103"/>
      <c r="Z824" s="103"/>
      <c r="AA824" s="103"/>
      <c r="AB824" s="103"/>
      <c r="AC824" s="103">
        <v>20</v>
      </c>
      <c r="AD824" s="103"/>
      <c r="AE824" s="103"/>
      <c r="AF824" s="103"/>
      <c r="AG824" s="103"/>
      <c r="AH824" s="103"/>
      <c r="AI824" s="103">
        <v>1</v>
      </c>
      <c r="AJ824" s="103"/>
      <c r="AK824" s="103"/>
      <c r="AL824" s="103"/>
      <c r="AM824" s="103"/>
      <c r="AN824" s="103"/>
      <c r="AO824" s="103"/>
      <c r="AP824" s="103"/>
      <c r="AQ824" s="103">
        <v>10</v>
      </c>
      <c r="AR824" s="103">
        <v>5</v>
      </c>
      <c r="AS824" s="103">
        <v>6</v>
      </c>
      <c r="AT824" s="103"/>
      <c r="AU824" s="103"/>
      <c r="AV824" s="103"/>
      <c r="AW824" s="104" t="str">
        <f>HYPERLINK("http://www.openstreetmap.org/?mlat=35.3708&amp;mlon=43.766&amp;zoom=12#map=12/35.3708/43.766","Maplink1")</f>
        <v>Maplink1</v>
      </c>
      <c r="AX824" s="104" t="str">
        <f>HYPERLINK("https://www.google.iq/maps/search/+35.3708,43.766/@35.3708,43.766,14z?hl=en","Maplink2")</f>
        <v>Maplink2</v>
      </c>
      <c r="AY824" s="104" t="str">
        <f>HYPERLINK("http://www.bing.com/maps/?lvl=14&amp;sty=h&amp;cp=35.3708~43.766&amp;sp=point.35.3708_43.766","Maplink3")</f>
        <v>Maplink3</v>
      </c>
    </row>
    <row r="825" spans="1:51" x14ac:dyDescent="0.2">
      <c r="A825" s="102">
        <v>14808</v>
      </c>
      <c r="B825" s="103" t="s">
        <v>34</v>
      </c>
      <c r="C825" s="103" t="s">
        <v>95</v>
      </c>
      <c r="D825" s="103" t="s">
        <v>1639</v>
      </c>
      <c r="E825" s="103" t="s">
        <v>1640</v>
      </c>
      <c r="F825" s="103">
        <v>35.396273000000001</v>
      </c>
      <c r="G825" s="103">
        <v>43.828204222099998</v>
      </c>
      <c r="H825" s="102">
        <v>205</v>
      </c>
      <c r="I825" s="102">
        <v>1230</v>
      </c>
      <c r="J825" s="103"/>
      <c r="K825" s="103"/>
      <c r="L825" s="103"/>
      <c r="M825" s="103">
        <v>205</v>
      </c>
      <c r="N825" s="103"/>
      <c r="O825" s="103"/>
      <c r="P825" s="103"/>
      <c r="Q825" s="103"/>
      <c r="R825" s="103"/>
      <c r="S825" s="103"/>
      <c r="T825" s="103"/>
      <c r="U825" s="103"/>
      <c r="V825" s="103"/>
      <c r="W825" s="103"/>
      <c r="X825" s="103"/>
      <c r="Y825" s="103"/>
      <c r="Z825" s="103"/>
      <c r="AA825" s="103"/>
      <c r="AB825" s="103"/>
      <c r="AC825" s="103">
        <v>165</v>
      </c>
      <c r="AD825" s="103"/>
      <c r="AE825" s="103"/>
      <c r="AF825" s="103"/>
      <c r="AG825" s="103"/>
      <c r="AH825" s="103"/>
      <c r="AI825" s="103">
        <v>40</v>
      </c>
      <c r="AJ825" s="103"/>
      <c r="AK825" s="103"/>
      <c r="AL825" s="103"/>
      <c r="AM825" s="103"/>
      <c r="AN825" s="103">
        <v>20</v>
      </c>
      <c r="AO825" s="103">
        <v>20</v>
      </c>
      <c r="AP825" s="103">
        <v>30</v>
      </c>
      <c r="AQ825" s="103">
        <v>40</v>
      </c>
      <c r="AR825" s="103">
        <v>60</v>
      </c>
      <c r="AS825" s="103">
        <v>30</v>
      </c>
      <c r="AT825" s="103">
        <v>5</v>
      </c>
      <c r="AU825" s="103"/>
      <c r="AV825" s="103"/>
      <c r="AW825" s="104" t="str">
        <f>HYPERLINK("http://www.openstreetmap.org/?mlat=35.3963&amp;mlon=43.8282&amp;zoom=12#map=12/35.3963/43.8282","Maplink1")</f>
        <v>Maplink1</v>
      </c>
      <c r="AX825" s="104" t="str">
        <f>HYPERLINK("https://www.google.iq/maps/search/+35.3963,43.8282/@35.3963,43.8282,14z?hl=en","Maplink2")</f>
        <v>Maplink2</v>
      </c>
      <c r="AY825" s="104" t="str">
        <f>HYPERLINK("http://www.bing.com/maps/?lvl=14&amp;sty=h&amp;cp=35.3963~43.8282&amp;sp=point.35.3963_43.8282","Maplink3")</f>
        <v>Maplink3</v>
      </c>
    </row>
    <row r="826" spans="1:51" x14ac:dyDescent="0.2">
      <c r="A826" s="102">
        <v>15294</v>
      </c>
      <c r="B826" s="103" t="s">
        <v>34</v>
      </c>
      <c r="C826" s="103" t="s">
        <v>95</v>
      </c>
      <c r="D826" s="103" t="s">
        <v>1641</v>
      </c>
      <c r="E826" s="103" t="s">
        <v>1642</v>
      </c>
      <c r="F826" s="103">
        <v>35.343159999999997</v>
      </c>
      <c r="G826" s="103">
        <v>43.756498301599997</v>
      </c>
      <c r="H826" s="102">
        <v>19</v>
      </c>
      <c r="I826" s="102">
        <v>114</v>
      </c>
      <c r="J826" s="103"/>
      <c r="K826" s="103"/>
      <c r="L826" s="103"/>
      <c r="M826" s="103">
        <v>19</v>
      </c>
      <c r="N826" s="103"/>
      <c r="O826" s="103"/>
      <c r="P826" s="103"/>
      <c r="Q826" s="103"/>
      <c r="R826" s="103"/>
      <c r="S826" s="103"/>
      <c r="T826" s="103"/>
      <c r="U826" s="103"/>
      <c r="V826" s="103"/>
      <c r="W826" s="103"/>
      <c r="X826" s="103"/>
      <c r="Y826" s="103"/>
      <c r="Z826" s="103"/>
      <c r="AA826" s="103"/>
      <c r="AB826" s="103"/>
      <c r="AC826" s="103">
        <v>19</v>
      </c>
      <c r="AD826" s="103"/>
      <c r="AE826" s="103"/>
      <c r="AF826" s="103"/>
      <c r="AG826" s="103"/>
      <c r="AH826" s="103"/>
      <c r="AI826" s="103"/>
      <c r="AJ826" s="103"/>
      <c r="AK826" s="103"/>
      <c r="AL826" s="103"/>
      <c r="AM826" s="103"/>
      <c r="AN826" s="103"/>
      <c r="AO826" s="103"/>
      <c r="AP826" s="103"/>
      <c r="AQ826" s="103">
        <v>7</v>
      </c>
      <c r="AR826" s="103">
        <v>7</v>
      </c>
      <c r="AS826" s="103">
        <v>5</v>
      </c>
      <c r="AT826" s="103"/>
      <c r="AU826" s="103"/>
      <c r="AV826" s="103"/>
      <c r="AW826" s="104" t="str">
        <f>HYPERLINK("http://www.openstreetmap.org/?mlat=35.3432&amp;mlon=43.7565&amp;zoom=12#map=12/35.3432/43.7565","Maplink1")</f>
        <v>Maplink1</v>
      </c>
      <c r="AX826" s="104" t="str">
        <f>HYPERLINK("https://www.google.iq/maps/search/+35.3432,43.7565/@35.3432,43.7565,14z?hl=en","Maplink2")</f>
        <v>Maplink2</v>
      </c>
      <c r="AY826" s="104" t="str">
        <f>HYPERLINK("http://www.bing.com/maps/?lvl=14&amp;sty=h&amp;cp=35.3432~43.7565&amp;sp=point.35.3432_43.7565","Maplink3")</f>
        <v>Maplink3</v>
      </c>
    </row>
    <row r="827" spans="1:51" x14ac:dyDescent="0.2">
      <c r="A827" s="102">
        <v>14868</v>
      </c>
      <c r="B827" s="103" t="s">
        <v>34</v>
      </c>
      <c r="C827" s="103" t="s">
        <v>95</v>
      </c>
      <c r="D827" s="103" t="s">
        <v>1741</v>
      </c>
      <c r="E827" s="103" t="s">
        <v>1742</v>
      </c>
      <c r="F827" s="103">
        <v>35.390948999999999</v>
      </c>
      <c r="G827" s="103">
        <v>43.8064188317</v>
      </c>
      <c r="H827" s="102">
        <v>97</v>
      </c>
      <c r="I827" s="102">
        <v>582</v>
      </c>
      <c r="J827" s="103"/>
      <c r="K827" s="103"/>
      <c r="L827" s="103"/>
      <c r="M827" s="103">
        <v>97</v>
      </c>
      <c r="N827" s="103"/>
      <c r="O827" s="103"/>
      <c r="P827" s="103"/>
      <c r="Q827" s="103"/>
      <c r="R827" s="103"/>
      <c r="S827" s="103"/>
      <c r="T827" s="103"/>
      <c r="U827" s="103"/>
      <c r="V827" s="103"/>
      <c r="W827" s="103"/>
      <c r="X827" s="103"/>
      <c r="Y827" s="103"/>
      <c r="Z827" s="103"/>
      <c r="AA827" s="103"/>
      <c r="AB827" s="103"/>
      <c r="AC827" s="103">
        <v>77</v>
      </c>
      <c r="AD827" s="103"/>
      <c r="AE827" s="103"/>
      <c r="AF827" s="103"/>
      <c r="AG827" s="103"/>
      <c r="AH827" s="103"/>
      <c r="AI827" s="103">
        <v>20</v>
      </c>
      <c r="AJ827" s="103"/>
      <c r="AK827" s="103"/>
      <c r="AL827" s="103"/>
      <c r="AM827" s="103"/>
      <c r="AN827" s="103">
        <v>5</v>
      </c>
      <c r="AO827" s="103">
        <v>20</v>
      </c>
      <c r="AP827" s="103">
        <v>5</v>
      </c>
      <c r="AQ827" s="103">
        <v>18</v>
      </c>
      <c r="AR827" s="103">
        <v>27</v>
      </c>
      <c r="AS827" s="103">
        <v>17</v>
      </c>
      <c r="AT827" s="103">
        <v>5</v>
      </c>
      <c r="AU827" s="103"/>
      <c r="AV827" s="103"/>
      <c r="AW827" s="104" t="str">
        <f>HYPERLINK("http://www.openstreetmap.org/?mlat=35.3909&amp;mlon=43.8064&amp;zoom=12#map=12/35.3909/43.8064","Maplink1")</f>
        <v>Maplink1</v>
      </c>
      <c r="AX827" s="104" t="str">
        <f>HYPERLINK("https://www.google.iq/maps/search/+35.3909,43.8064/@35.3909,43.8064,14z?hl=en","Maplink2")</f>
        <v>Maplink2</v>
      </c>
      <c r="AY827" s="104" t="str">
        <f>HYPERLINK("http://www.bing.com/maps/?lvl=14&amp;sty=h&amp;cp=35.3909~43.8064&amp;sp=point.35.3909_43.8064","Maplink3")</f>
        <v>Maplink3</v>
      </c>
    </row>
    <row r="828" spans="1:51" x14ac:dyDescent="0.2">
      <c r="A828" s="102">
        <v>14910</v>
      </c>
      <c r="B828" s="103" t="s">
        <v>34</v>
      </c>
      <c r="C828" s="103" t="s">
        <v>95</v>
      </c>
      <c r="D828" s="103" t="s">
        <v>1743</v>
      </c>
      <c r="E828" s="103" t="s">
        <v>1744</v>
      </c>
      <c r="F828" s="103">
        <v>35.294759999999997</v>
      </c>
      <c r="G828" s="103">
        <v>43.854131834</v>
      </c>
      <c r="H828" s="102">
        <v>27</v>
      </c>
      <c r="I828" s="102">
        <v>162</v>
      </c>
      <c r="J828" s="103"/>
      <c r="K828" s="103"/>
      <c r="L828" s="103"/>
      <c r="M828" s="103">
        <v>22</v>
      </c>
      <c r="N828" s="103">
        <v>5</v>
      </c>
      <c r="O828" s="103"/>
      <c r="P828" s="103"/>
      <c r="Q828" s="103"/>
      <c r="R828" s="103"/>
      <c r="S828" s="103"/>
      <c r="T828" s="103"/>
      <c r="U828" s="103"/>
      <c r="V828" s="103"/>
      <c r="W828" s="103"/>
      <c r="X828" s="103"/>
      <c r="Y828" s="103"/>
      <c r="Z828" s="103"/>
      <c r="AA828" s="103"/>
      <c r="AB828" s="103"/>
      <c r="AC828" s="103">
        <v>27</v>
      </c>
      <c r="AD828" s="103"/>
      <c r="AE828" s="103"/>
      <c r="AF828" s="103"/>
      <c r="AG828" s="103"/>
      <c r="AH828" s="103"/>
      <c r="AI828" s="103"/>
      <c r="AJ828" s="103"/>
      <c r="AK828" s="103"/>
      <c r="AL828" s="103"/>
      <c r="AM828" s="103"/>
      <c r="AN828" s="103"/>
      <c r="AO828" s="103">
        <v>5</v>
      </c>
      <c r="AP828" s="103">
        <v>10</v>
      </c>
      <c r="AQ828" s="103"/>
      <c r="AR828" s="103">
        <v>5</v>
      </c>
      <c r="AS828" s="103">
        <v>7</v>
      </c>
      <c r="AT828" s="103"/>
      <c r="AU828" s="103"/>
      <c r="AV828" s="103"/>
      <c r="AW828" s="104" t="str">
        <f>HYPERLINK("http://www.openstreetmap.org/?mlat=35.2948&amp;mlon=43.8541&amp;zoom=12#map=12/35.2948/43.8541","Maplink1")</f>
        <v>Maplink1</v>
      </c>
      <c r="AX828" s="104" t="str">
        <f>HYPERLINK("https://www.google.iq/maps/search/+35.2948,43.8541/@35.2948,43.8541,14z?hl=en","Maplink2")</f>
        <v>Maplink2</v>
      </c>
      <c r="AY828" s="104" t="str">
        <f>HYPERLINK("http://www.bing.com/maps/?lvl=14&amp;sty=h&amp;cp=35.2948~43.8541&amp;sp=point.35.2948_43.8541","Maplink3")</f>
        <v>Maplink3</v>
      </c>
    </row>
    <row r="829" spans="1:51" x14ac:dyDescent="0.2">
      <c r="A829" s="102">
        <v>14899</v>
      </c>
      <c r="B829" s="103" t="s">
        <v>34</v>
      </c>
      <c r="C829" s="103" t="s">
        <v>95</v>
      </c>
      <c r="D829" s="103" t="s">
        <v>1745</v>
      </c>
      <c r="E829" s="103" t="s">
        <v>1746</v>
      </c>
      <c r="F829" s="103">
        <v>35.127859999999998</v>
      </c>
      <c r="G829" s="103">
        <v>43.555008452800003</v>
      </c>
      <c r="H829" s="102">
        <v>33</v>
      </c>
      <c r="I829" s="102">
        <v>198</v>
      </c>
      <c r="J829" s="103"/>
      <c r="K829" s="103"/>
      <c r="L829" s="103"/>
      <c r="M829" s="103">
        <v>30</v>
      </c>
      <c r="N829" s="103">
        <v>3</v>
      </c>
      <c r="O829" s="103"/>
      <c r="P829" s="103"/>
      <c r="Q829" s="103"/>
      <c r="R829" s="103"/>
      <c r="S829" s="103"/>
      <c r="T829" s="103"/>
      <c r="U829" s="103"/>
      <c r="V829" s="103"/>
      <c r="W829" s="103"/>
      <c r="X829" s="103"/>
      <c r="Y829" s="103"/>
      <c r="Z829" s="103"/>
      <c r="AA829" s="103"/>
      <c r="AB829" s="103"/>
      <c r="AC829" s="103">
        <v>16</v>
      </c>
      <c r="AD829" s="103"/>
      <c r="AE829" s="103"/>
      <c r="AF829" s="103"/>
      <c r="AG829" s="103"/>
      <c r="AH829" s="103"/>
      <c r="AI829" s="103">
        <v>17</v>
      </c>
      <c r="AJ829" s="103"/>
      <c r="AK829" s="103"/>
      <c r="AL829" s="103"/>
      <c r="AM829" s="103"/>
      <c r="AN829" s="103"/>
      <c r="AO829" s="103"/>
      <c r="AP829" s="103">
        <v>5</v>
      </c>
      <c r="AQ829" s="103">
        <v>3</v>
      </c>
      <c r="AR829" s="103">
        <v>5</v>
      </c>
      <c r="AS829" s="103">
        <v>20</v>
      </c>
      <c r="AT829" s="103"/>
      <c r="AU829" s="103"/>
      <c r="AV829" s="103"/>
      <c r="AW829" s="104" t="str">
        <f>HYPERLINK("http://www.openstreetmap.org/?mlat=35.1279&amp;mlon=43.555&amp;zoom=12#map=12/35.1279/43.555","Maplink1")</f>
        <v>Maplink1</v>
      </c>
      <c r="AX829" s="104" t="str">
        <f>HYPERLINK("https://www.google.iq/maps/search/+35.1279,43.555/@35.1279,43.555,14z?hl=en","Maplink2")</f>
        <v>Maplink2</v>
      </c>
      <c r="AY829" s="104" t="str">
        <f>HYPERLINK("http://www.bing.com/maps/?lvl=14&amp;sty=h&amp;cp=35.1279~43.555&amp;sp=point.35.1279_43.555","Maplink3")</f>
        <v>Maplink3</v>
      </c>
    </row>
    <row r="830" spans="1:51" x14ac:dyDescent="0.2">
      <c r="A830" s="102">
        <v>15000</v>
      </c>
      <c r="B830" s="103" t="s">
        <v>34</v>
      </c>
      <c r="C830" s="103" t="s">
        <v>95</v>
      </c>
      <c r="D830" s="103" t="s">
        <v>1747</v>
      </c>
      <c r="E830" s="103" t="s">
        <v>1748</v>
      </c>
      <c r="F830" s="103">
        <v>35.27834</v>
      </c>
      <c r="G830" s="103">
        <v>43.554476604100003</v>
      </c>
      <c r="H830" s="102">
        <v>150</v>
      </c>
      <c r="I830" s="102">
        <v>900</v>
      </c>
      <c r="J830" s="103"/>
      <c r="K830" s="103"/>
      <c r="L830" s="103"/>
      <c r="M830" s="103">
        <v>130</v>
      </c>
      <c r="N830" s="103">
        <v>20</v>
      </c>
      <c r="O830" s="103"/>
      <c r="P830" s="103"/>
      <c r="Q830" s="103"/>
      <c r="R830" s="103"/>
      <c r="S830" s="103"/>
      <c r="T830" s="103"/>
      <c r="U830" s="103"/>
      <c r="V830" s="103"/>
      <c r="W830" s="103"/>
      <c r="X830" s="103"/>
      <c r="Y830" s="103"/>
      <c r="Z830" s="103"/>
      <c r="AA830" s="103"/>
      <c r="AB830" s="103"/>
      <c r="AC830" s="103">
        <v>95</v>
      </c>
      <c r="AD830" s="103"/>
      <c r="AE830" s="103"/>
      <c r="AF830" s="103"/>
      <c r="AG830" s="103">
        <v>15</v>
      </c>
      <c r="AH830" s="103"/>
      <c r="AI830" s="103">
        <v>40</v>
      </c>
      <c r="AJ830" s="103"/>
      <c r="AK830" s="103"/>
      <c r="AL830" s="103"/>
      <c r="AM830" s="103"/>
      <c r="AN830" s="103">
        <v>20</v>
      </c>
      <c r="AO830" s="103">
        <v>25</v>
      </c>
      <c r="AP830" s="103">
        <v>10</v>
      </c>
      <c r="AQ830" s="103">
        <v>25</v>
      </c>
      <c r="AR830" s="103">
        <v>20</v>
      </c>
      <c r="AS830" s="103">
        <v>30</v>
      </c>
      <c r="AT830" s="103">
        <v>20</v>
      </c>
      <c r="AU830" s="103"/>
      <c r="AV830" s="103"/>
      <c r="AW830" s="104" t="str">
        <f>HYPERLINK("http://www.openstreetmap.org/?mlat=35.2783&amp;mlon=43.5545&amp;zoom=12#map=12/35.2783/43.5545","Maplink1")</f>
        <v>Maplink1</v>
      </c>
      <c r="AX830" s="104" t="str">
        <f>HYPERLINK("https://www.google.iq/maps/search/+35.2783,43.5545/@35.2783,43.5545,14z?hl=en","Maplink2")</f>
        <v>Maplink2</v>
      </c>
      <c r="AY830" s="104" t="str">
        <f>HYPERLINK("http://www.bing.com/maps/?lvl=14&amp;sty=h&amp;cp=35.2783~43.5545&amp;sp=point.35.2783_43.5545","Maplink3")</f>
        <v>Maplink3</v>
      </c>
    </row>
    <row r="831" spans="1:51" x14ac:dyDescent="0.2">
      <c r="A831" s="102">
        <v>33455</v>
      </c>
      <c r="B831" s="103" t="s">
        <v>34</v>
      </c>
      <c r="C831" s="103" t="s">
        <v>95</v>
      </c>
      <c r="D831" s="103" t="s">
        <v>1749</v>
      </c>
      <c r="E831" s="103" t="s">
        <v>1750</v>
      </c>
      <c r="F831" s="103">
        <v>35.325749999999999</v>
      </c>
      <c r="G831" s="103">
        <v>43.780168487200001</v>
      </c>
      <c r="H831" s="102">
        <v>30</v>
      </c>
      <c r="I831" s="102">
        <v>180</v>
      </c>
      <c r="J831" s="103"/>
      <c r="K831" s="103"/>
      <c r="L831" s="103"/>
      <c r="M831" s="103">
        <v>30</v>
      </c>
      <c r="N831" s="103"/>
      <c r="O831" s="103"/>
      <c r="P831" s="103"/>
      <c r="Q831" s="103"/>
      <c r="R831" s="103"/>
      <c r="S831" s="103"/>
      <c r="T831" s="103"/>
      <c r="U831" s="103"/>
      <c r="V831" s="103"/>
      <c r="W831" s="103"/>
      <c r="X831" s="103"/>
      <c r="Y831" s="103"/>
      <c r="Z831" s="103"/>
      <c r="AA831" s="103"/>
      <c r="AB831" s="103"/>
      <c r="AC831" s="103">
        <v>30</v>
      </c>
      <c r="AD831" s="103"/>
      <c r="AE831" s="103"/>
      <c r="AF831" s="103"/>
      <c r="AG831" s="103"/>
      <c r="AH831" s="103"/>
      <c r="AI831" s="103"/>
      <c r="AJ831" s="103"/>
      <c r="AK831" s="103"/>
      <c r="AL831" s="103"/>
      <c r="AM831" s="103"/>
      <c r="AN831" s="103">
        <v>2</v>
      </c>
      <c r="AO831" s="103">
        <v>3</v>
      </c>
      <c r="AP831" s="103">
        <v>5</v>
      </c>
      <c r="AQ831" s="103">
        <v>7</v>
      </c>
      <c r="AR831" s="103">
        <v>8</v>
      </c>
      <c r="AS831" s="103">
        <v>5</v>
      </c>
      <c r="AT831" s="103"/>
      <c r="AU831" s="103"/>
      <c r="AV831" s="103"/>
      <c r="AW831" s="104" t="str">
        <f>HYPERLINK("http://www.openstreetmap.org/?mlat=35.3257&amp;mlon=43.7802&amp;zoom=12#map=12/35.3257/43.7802","Maplink1")</f>
        <v>Maplink1</v>
      </c>
      <c r="AX831" s="104" t="str">
        <f>HYPERLINK("https://www.google.iq/maps/search/+35.3257,43.7802/@35.3257,43.7802,14z?hl=en","Maplink2")</f>
        <v>Maplink2</v>
      </c>
      <c r="AY831" s="104" t="str">
        <f>HYPERLINK("http://www.bing.com/maps/?lvl=14&amp;sty=h&amp;cp=35.3257~43.7802&amp;sp=point.35.3257_43.7802","Maplink3")</f>
        <v>Maplink3</v>
      </c>
    </row>
    <row r="832" spans="1:51" x14ac:dyDescent="0.2">
      <c r="A832" s="102">
        <v>14998</v>
      </c>
      <c r="B832" s="103" t="s">
        <v>34</v>
      </c>
      <c r="C832" s="103" t="s">
        <v>95</v>
      </c>
      <c r="D832" s="103" t="s">
        <v>1554</v>
      </c>
      <c r="E832" s="103" t="s">
        <v>1555</v>
      </c>
      <c r="F832" s="103">
        <v>35.343150999999999</v>
      </c>
      <c r="G832" s="103">
        <v>43.725683772499998</v>
      </c>
      <c r="H832" s="102">
        <v>44</v>
      </c>
      <c r="I832" s="102">
        <v>264</v>
      </c>
      <c r="J832" s="103">
        <v>3</v>
      </c>
      <c r="K832" s="103"/>
      <c r="L832" s="103"/>
      <c r="M832" s="103">
        <v>41</v>
      </c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103"/>
      <c r="AA832" s="103"/>
      <c r="AB832" s="103"/>
      <c r="AC832" s="103">
        <v>44</v>
      </c>
      <c r="AD832" s="103"/>
      <c r="AE832" s="103"/>
      <c r="AF832" s="103"/>
      <c r="AG832" s="103"/>
      <c r="AH832" s="103"/>
      <c r="AI832" s="103"/>
      <c r="AJ832" s="103"/>
      <c r="AK832" s="103"/>
      <c r="AL832" s="103"/>
      <c r="AM832" s="103"/>
      <c r="AN832" s="103"/>
      <c r="AO832" s="103"/>
      <c r="AP832" s="103">
        <v>2</v>
      </c>
      <c r="AQ832" s="103">
        <v>1</v>
      </c>
      <c r="AR832" s="103">
        <v>7</v>
      </c>
      <c r="AS832" s="103">
        <v>20</v>
      </c>
      <c r="AT832" s="103">
        <v>14</v>
      </c>
      <c r="AU832" s="103"/>
      <c r="AV832" s="103"/>
      <c r="AW832" s="104" t="str">
        <f>HYPERLINK("http://www.openstreetmap.org/?mlat=35.3432&amp;mlon=43.7257&amp;zoom=12#map=12/35.3432/43.7257","Maplink1")</f>
        <v>Maplink1</v>
      </c>
      <c r="AX832" s="104" t="str">
        <f>HYPERLINK("https://www.google.iq/maps/search/+35.3432,43.7257/@35.3432,43.7257,14z?hl=en","Maplink2")</f>
        <v>Maplink2</v>
      </c>
      <c r="AY832" s="104" t="str">
        <f>HYPERLINK("http://www.bing.com/maps/?lvl=14&amp;sty=h&amp;cp=35.3432~43.7257&amp;sp=point.35.3432_43.7257","Maplink3")</f>
        <v>Maplink3</v>
      </c>
    </row>
    <row r="833" spans="1:51" x14ac:dyDescent="0.2">
      <c r="A833" s="102">
        <v>14974</v>
      </c>
      <c r="B833" s="103" t="s">
        <v>34</v>
      </c>
      <c r="C833" s="103" t="s">
        <v>95</v>
      </c>
      <c r="D833" s="103" t="s">
        <v>1556</v>
      </c>
      <c r="E833" s="103" t="s">
        <v>1557</v>
      </c>
      <c r="F833" s="103">
        <v>35.229419999999998</v>
      </c>
      <c r="G833" s="103">
        <v>43.630636582599998</v>
      </c>
      <c r="H833" s="102">
        <v>135</v>
      </c>
      <c r="I833" s="102">
        <v>810</v>
      </c>
      <c r="J833" s="103"/>
      <c r="K833" s="103"/>
      <c r="L833" s="103"/>
      <c r="M833" s="103">
        <v>135</v>
      </c>
      <c r="N833" s="103"/>
      <c r="O833" s="103"/>
      <c r="P833" s="103"/>
      <c r="Q833" s="103"/>
      <c r="R833" s="103"/>
      <c r="S833" s="103"/>
      <c r="T833" s="103"/>
      <c r="U833" s="103"/>
      <c r="V833" s="103"/>
      <c r="W833" s="103"/>
      <c r="X833" s="103"/>
      <c r="Y833" s="103"/>
      <c r="Z833" s="103"/>
      <c r="AA833" s="103"/>
      <c r="AB833" s="103"/>
      <c r="AC833" s="103">
        <v>85</v>
      </c>
      <c r="AD833" s="103"/>
      <c r="AE833" s="103"/>
      <c r="AF833" s="103"/>
      <c r="AG833" s="103"/>
      <c r="AH833" s="103"/>
      <c r="AI833" s="103">
        <v>50</v>
      </c>
      <c r="AJ833" s="103"/>
      <c r="AK833" s="103"/>
      <c r="AL833" s="103"/>
      <c r="AM833" s="103"/>
      <c r="AN833" s="103">
        <v>5</v>
      </c>
      <c r="AO833" s="103">
        <v>10</v>
      </c>
      <c r="AP833" s="103">
        <v>17</v>
      </c>
      <c r="AQ833" s="103">
        <v>19</v>
      </c>
      <c r="AR833" s="103">
        <v>20</v>
      </c>
      <c r="AS833" s="103">
        <v>40</v>
      </c>
      <c r="AT833" s="103">
        <v>24</v>
      </c>
      <c r="AU833" s="103"/>
      <c r="AV833" s="103"/>
      <c r="AW833" s="104" t="str">
        <f>HYPERLINK("http://www.openstreetmap.org/?mlat=35.2294&amp;mlon=43.6306&amp;zoom=12#map=12/35.2294/43.6306","Maplink1")</f>
        <v>Maplink1</v>
      </c>
      <c r="AX833" s="104" t="str">
        <f>HYPERLINK("https://www.google.iq/maps/search/+35.2294,43.6306/@35.2294,43.6306,14z?hl=en","Maplink2")</f>
        <v>Maplink2</v>
      </c>
      <c r="AY833" s="104" t="str">
        <f>HYPERLINK("http://www.bing.com/maps/?lvl=14&amp;sty=h&amp;cp=35.2294~43.6306&amp;sp=point.35.2294_43.6306","Maplink3")</f>
        <v>Maplink3</v>
      </c>
    </row>
    <row r="834" spans="1:51" x14ac:dyDescent="0.2">
      <c r="A834" s="102">
        <v>15261</v>
      </c>
      <c r="B834" s="103" t="s">
        <v>34</v>
      </c>
      <c r="C834" s="103" t="s">
        <v>95</v>
      </c>
      <c r="D834" s="103" t="s">
        <v>1558</v>
      </c>
      <c r="E834" s="103" t="s">
        <v>1559</v>
      </c>
      <c r="F834" s="103">
        <v>35.319353999999997</v>
      </c>
      <c r="G834" s="103">
        <v>43.754651668800001</v>
      </c>
      <c r="H834" s="102">
        <v>236</v>
      </c>
      <c r="I834" s="102">
        <v>1416</v>
      </c>
      <c r="J834" s="103"/>
      <c r="K834" s="103"/>
      <c r="L834" s="103"/>
      <c r="M834" s="103">
        <v>233</v>
      </c>
      <c r="N834" s="103">
        <v>3</v>
      </c>
      <c r="O834" s="103"/>
      <c r="P834" s="103"/>
      <c r="Q834" s="103"/>
      <c r="R834" s="103"/>
      <c r="S834" s="103"/>
      <c r="T834" s="103"/>
      <c r="U834" s="103"/>
      <c r="V834" s="103"/>
      <c r="W834" s="103"/>
      <c r="X834" s="103"/>
      <c r="Y834" s="103"/>
      <c r="Z834" s="103"/>
      <c r="AA834" s="103"/>
      <c r="AB834" s="103"/>
      <c r="AC834" s="103">
        <v>196</v>
      </c>
      <c r="AD834" s="103"/>
      <c r="AE834" s="103"/>
      <c r="AF834" s="103"/>
      <c r="AG834" s="103"/>
      <c r="AH834" s="103"/>
      <c r="AI834" s="103">
        <v>40</v>
      </c>
      <c r="AJ834" s="103"/>
      <c r="AK834" s="103"/>
      <c r="AL834" s="103"/>
      <c r="AM834" s="103"/>
      <c r="AN834" s="103">
        <v>25</v>
      </c>
      <c r="AO834" s="103">
        <v>30</v>
      </c>
      <c r="AP834" s="103">
        <v>30</v>
      </c>
      <c r="AQ834" s="103">
        <v>35</v>
      </c>
      <c r="AR834" s="103">
        <v>46</v>
      </c>
      <c r="AS834" s="103">
        <v>60</v>
      </c>
      <c r="AT834" s="103">
        <v>10</v>
      </c>
      <c r="AU834" s="103"/>
      <c r="AV834" s="103"/>
      <c r="AW834" s="104" t="str">
        <f>HYPERLINK("http://www.openstreetmap.org/?mlat=35.3194&amp;mlon=43.7547&amp;zoom=12#map=12/35.3194/43.7547","Maplink1")</f>
        <v>Maplink1</v>
      </c>
      <c r="AX834" s="104" t="str">
        <f>HYPERLINK("https://www.google.iq/maps/search/+35.3194,43.7547/@35.3194,43.7547,14z?hl=en","Maplink2")</f>
        <v>Maplink2</v>
      </c>
      <c r="AY834" s="104" t="str">
        <f>HYPERLINK("http://www.bing.com/maps/?lvl=14&amp;sty=h&amp;cp=35.3194~43.7547&amp;sp=point.35.3194_43.7547","Maplink3")</f>
        <v>Maplink3</v>
      </c>
    </row>
    <row r="835" spans="1:51" x14ac:dyDescent="0.2">
      <c r="A835" s="102">
        <v>15626</v>
      </c>
      <c r="B835" s="103" t="s">
        <v>34</v>
      </c>
      <c r="C835" s="103" t="s">
        <v>95</v>
      </c>
      <c r="D835" s="103" t="s">
        <v>1560</v>
      </c>
      <c r="E835" s="103" t="s">
        <v>207</v>
      </c>
      <c r="F835" s="103">
        <v>35.323520000000002</v>
      </c>
      <c r="G835" s="103">
        <v>43.774553762799997</v>
      </c>
      <c r="H835" s="102">
        <v>310</v>
      </c>
      <c r="I835" s="102">
        <v>1860</v>
      </c>
      <c r="J835" s="103"/>
      <c r="K835" s="103"/>
      <c r="L835" s="103"/>
      <c r="M835" s="103">
        <v>310</v>
      </c>
      <c r="N835" s="103"/>
      <c r="O835" s="103"/>
      <c r="P835" s="103"/>
      <c r="Q835" s="103"/>
      <c r="R835" s="103"/>
      <c r="S835" s="103"/>
      <c r="T835" s="103"/>
      <c r="U835" s="103"/>
      <c r="V835" s="103"/>
      <c r="W835" s="103"/>
      <c r="X835" s="103"/>
      <c r="Y835" s="103"/>
      <c r="Z835" s="103"/>
      <c r="AA835" s="103"/>
      <c r="AB835" s="103"/>
      <c r="AC835" s="103">
        <v>306</v>
      </c>
      <c r="AD835" s="103"/>
      <c r="AE835" s="103"/>
      <c r="AF835" s="103"/>
      <c r="AG835" s="103"/>
      <c r="AH835" s="103"/>
      <c r="AI835" s="103">
        <v>4</v>
      </c>
      <c r="AJ835" s="103"/>
      <c r="AK835" s="103"/>
      <c r="AL835" s="103"/>
      <c r="AM835" s="103"/>
      <c r="AN835" s="103">
        <v>20</v>
      </c>
      <c r="AO835" s="103">
        <v>35</v>
      </c>
      <c r="AP835" s="103">
        <v>65</v>
      </c>
      <c r="AQ835" s="103">
        <v>65</v>
      </c>
      <c r="AR835" s="103">
        <v>50</v>
      </c>
      <c r="AS835" s="103">
        <v>45</v>
      </c>
      <c r="AT835" s="103">
        <v>30</v>
      </c>
      <c r="AU835" s="103"/>
      <c r="AV835" s="103"/>
      <c r="AW835" s="104" t="str">
        <f>HYPERLINK("http://www.openstreetmap.org/?mlat=35.3235&amp;mlon=43.7746&amp;zoom=12#map=12/35.3235/43.7746","Maplink1")</f>
        <v>Maplink1</v>
      </c>
      <c r="AX835" s="104" t="str">
        <f>HYPERLINK("https://www.google.iq/maps/search/+35.3235,43.7746/@35.3235,43.7746,14z?hl=en","Maplink2")</f>
        <v>Maplink2</v>
      </c>
      <c r="AY835" s="104" t="str">
        <f>HYPERLINK("http://www.bing.com/maps/?lvl=14&amp;sty=h&amp;cp=35.3235~43.7746&amp;sp=point.35.3235_43.7746","Maplink3")</f>
        <v>Maplink3</v>
      </c>
    </row>
    <row r="836" spans="1:51" x14ac:dyDescent="0.2">
      <c r="A836" s="102">
        <v>33459</v>
      </c>
      <c r="B836" s="103" t="s">
        <v>34</v>
      </c>
      <c r="C836" s="103" t="s">
        <v>95</v>
      </c>
      <c r="D836" s="103" t="s">
        <v>1561</v>
      </c>
      <c r="E836" s="103" t="s">
        <v>1562</v>
      </c>
      <c r="F836" s="103">
        <v>35.404449999999997</v>
      </c>
      <c r="G836" s="103">
        <v>43.8940509173</v>
      </c>
      <c r="H836" s="102">
        <v>126</v>
      </c>
      <c r="I836" s="102">
        <v>756</v>
      </c>
      <c r="J836" s="103"/>
      <c r="K836" s="103"/>
      <c r="L836" s="103"/>
      <c r="M836" s="103">
        <v>126</v>
      </c>
      <c r="N836" s="103"/>
      <c r="O836" s="103"/>
      <c r="P836" s="103"/>
      <c r="Q836" s="103"/>
      <c r="R836" s="103"/>
      <c r="S836" s="103"/>
      <c r="T836" s="103"/>
      <c r="U836" s="103"/>
      <c r="V836" s="103"/>
      <c r="W836" s="103"/>
      <c r="X836" s="103"/>
      <c r="Y836" s="103"/>
      <c r="Z836" s="103"/>
      <c r="AA836" s="103"/>
      <c r="AB836" s="103"/>
      <c r="AC836" s="103">
        <v>120</v>
      </c>
      <c r="AD836" s="103"/>
      <c r="AE836" s="103"/>
      <c r="AF836" s="103"/>
      <c r="AG836" s="103"/>
      <c r="AH836" s="103"/>
      <c r="AI836" s="103">
        <v>6</v>
      </c>
      <c r="AJ836" s="103"/>
      <c r="AK836" s="103"/>
      <c r="AL836" s="103"/>
      <c r="AM836" s="103"/>
      <c r="AN836" s="103">
        <v>10</v>
      </c>
      <c r="AO836" s="103">
        <v>20</v>
      </c>
      <c r="AP836" s="103">
        <v>10</v>
      </c>
      <c r="AQ836" s="103">
        <v>21</v>
      </c>
      <c r="AR836" s="103">
        <v>40</v>
      </c>
      <c r="AS836" s="103">
        <v>15</v>
      </c>
      <c r="AT836" s="103">
        <v>10</v>
      </c>
      <c r="AU836" s="103"/>
      <c r="AV836" s="103"/>
      <c r="AW836" s="104" t="str">
        <f>HYPERLINK("http://www.openstreetmap.org/?mlat=35.4044&amp;mlon=43.8941&amp;zoom=12#map=12/35.4044/43.8941","Maplink1")</f>
        <v>Maplink1</v>
      </c>
      <c r="AX836" s="104" t="str">
        <f>HYPERLINK("https://www.google.iq/maps/search/+35.4044,43.8941/@35.4044,43.8941,14z?hl=en","Maplink2")</f>
        <v>Maplink2</v>
      </c>
      <c r="AY836" s="104" t="str">
        <f>HYPERLINK("http://www.bing.com/maps/?lvl=14&amp;sty=h&amp;cp=35.4044~43.8941&amp;sp=point.35.4044_43.8941","Maplink3")</f>
        <v>Maplink3</v>
      </c>
    </row>
    <row r="837" spans="1:51" x14ac:dyDescent="0.2">
      <c r="A837" s="102">
        <v>15202</v>
      </c>
      <c r="B837" s="103" t="s">
        <v>34</v>
      </c>
      <c r="C837" s="103" t="s">
        <v>95</v>
      </c>
      <c r="D837" s="103" t="s">
        <v>1594</v>
      </c>
      <c r="E837" s="103" t="s">
        <v>1595</v>
      </c>
      <c r="F837" s="103">
        <v>35.270389000000002</v>
      </c>
      <c r="G837" s="103">
        <v>43.911540600000002</v>
      </c>
      <c r="H837" s="102">
        <v>1347</v>
      </c>
      <c r="I837" s="102">
        <v>8082</v>
      </c>
      <c r="J837" s="103"/>
      <c r="K837" s="103"/>
      <c r="L837" s="103">
        <v>30</v>
      </c>
      <c r="M837" s="103">
        <v>1317</v>
      </c>
      <c r="N837" s="103"/>
      <c r="O837" s="103"/>
      <c r="P837" s="103"/>
      <c r="Q837" s="103"/>
      <c r="R837" s="103"/>
      <c r="S837" s="103"/>
      <c r="T837" s="103"/>
      <c r="U837" s="103"/>
      <c r="V837" s="103"/>
      <c r="W837" s="103"/>
      <c r="X837" s="103"/>
      <c r="Y837" s="103"/>
      <c r="Z837" s="103"/>
      <c r="AA837" s="103"/>
      <c r="AB837" s="103"/>
      <c r="AC837" s="103">
        <v>1227</v>
      </c>
      <c r="AD837" s="103"/>
      <c r="AE837" s="103"/>
      <c r="AF837" s="103"/>
      <c r="AG837" s="103"/>
      <c r="AH837" s="103"/>
      <c r="AI837" s="103">
        <v>120</v>
      </c>
      <c r="AJ837" s="103"/>
      <c r="AK837" s="103"/>
      <c r="AL837" s="103"/>
      <c r="AM837" s="103"/>
      <c r="AN837" s="103">
        <v>90</v>
      </c>
      <c r="AO837" s="103">
        <v>130</v>
      </c>
      <c r="AP837" s="103">
        <v>200</v>
      </c>
      <c r="AQ837" s="103">
        <v>215</v>
      </c>
      <c r="AR837" s="103">
        <v>312</v>
      </c>
      <c r="AS837" s="103">
        <v>300</v>
      </c>
      <c r="AT837" s="103">
        <v>100</v>
      </c>
      <c r="AU837" s="103"/>
      <c r="AV837" s="103"/>
      <c r="AW837" s="104" t="str">
        <f>HYPERLINK("http://www.openstreetmap.org/?mlat=35.2704&amp;mlon=43.9115&amp;zoom=12#map=12/35.2704/43.9115","Maplink1")</f>
        <v>Maplink1</v>
      </c>
      <c r="AX837" s="104" t="str">
        <f>HYPERLINK("https://www.google.iq/maps/search/+35.2704,43.9115/@35.2704,43.9115,14z?hl=en","Maplink2")</f>
        <v>Maplink2</v>
      </c>
      <c r="AY837" s="104" t="str">
        <f>HYPERLINK("http://www.bing.com/maps/?lvl=14&amp;sty=h&amp;cp=35.2704~43.9115&amp;sp=point.35.2704_43.9115","Maplink3")</f>
        <v>Maplink3</v>
      </c>
    </row>
    <row r="838" spans="1:51" x14ac:dyDescent="0.2">
      <c r="A838" s="102">
        <v>14696</v>
      </c>
      <c r="B838" s="103" t="s">
        <v>34</v>
      </c>
      <c r="C838" s="103" t="s">
        <v>95</v>
      </c>
      <c r="D838" s="103" t="s">
        <v>1596</v>
      </c>
      <c r="E838" s="103" t="s">
        <v>1597</v>
      </c>
      <c r="F838" s="103">
        <v>35.329000000000001</v>
      </c>
      <c r="G838" s="103">
        <v>43.700661759900001</v>
      </c>
      <c r="H838" s="102">
        <v>76</v>
      </c>
      <c r="I838" s="102">
        <v>456</v>
      </c>
      <c r="J838" s="103"/>
      <c r="K838" s="103"/>
      <c r="L838" s="103"/>
      <c r="M838" s="103">
        <v>76</v>
      </c>
      <c r="N838" s="103"/>
      <c r="O838" s="103"/>
      <c r="P838" s="103"/>
      <c r="Q838" s="103"/>
      <c r="R838" s="103"/>
      <c r="S838" s="103"/>
      <c r="T838" s="103"/>
      <c r="U838" s="103"/>
      <c r="V838" s="103"/>
      <c r="W838" s="103"/>
      <c r="X838" s="103"/>
      <c r="Y838" s="103"/>
      <c r="Z838" s="103"/>
      <c r="AA838" s="103"/>
      <c r="AB838" s="103"/>
      <c r="AC838" s="103">
        <v>72</v>
      </c>
      <c r="AD838" s="103"/>
      <c r="AE838" s="103"/>
      <c r="AF838" s="103"/>
      <c r="AG838" s="103"/>
      <c r="AH838" s="103"/>
      <c r="AI838" s="103">
        <v>4</v>
      </c>
      <c r="AJ838" s="103"/>
      <c r="AK838" s="103"/>
      <c r="AL838" s="103"/>
      <c r="AM838" s="103"/>
      <c r="AN838" s="103"/>
      <c r="AO838" s="103">
        <v>5</v>
      </c>
      <c r="AP838" s="103"/>
      <c r="AQ838" s="103">
        <v>40</v>
      </c>
      <c r="AR838" s="103">
        <v>11</v>
      </c>
      <c r="AS838" s="103">
        <v>15</v>
      </c>
      <c r="AT838" s="103">
        <v>5</v>
      </c>
      <c r="AU838" s="103"/>
      <c r="AV838" s="103"/>
      <c r="AW838" s="104" t="str">
        <f>HYPERLINK("http://www.openstreetmap.org/?mlat=35.329&amp;mlon=43.7007&amp;zoom=12#map=12/35.329/43.7007","Maplink1")</f>
        <v>Maplink1</v>
      </c>
      <c r="AX838" s="104" t="str">
        <f>HYPERLINK("https://www.google.iq/maps/search/+35.329,43.7007/@35.329,43.7007,14z?hl=en","Maplink2")</f>
        <v>Maplink2</v>
      </c>
      <c r="AY838" s="104" t="str">
        <f>HYPERLINK("http://www.bing.com/maps/?lvl=14&amp;sty=h&amp;cp=35.329~43.7007&amp;sp=point.35.329_43.7007","Maplink3")</f>
        <v>Maplink3</v>
      </c>
    </row>
    <row r="839" spans="1:51" x14ac:dyDescent="0.2">
      <c r="A839" s="102">
        <v>15271</v>
      </c>
      <c r="B839" s="103" t="s">
        <v>34</v>
      </c>
      <c r="C839" s="103" t="s">
        <v>95</v>
      </c>
      <c r="D839" s="103" t="s">
        <v>1598</v>
      </c>
      <c r="E839" s="103" t="s">
        <v>1599</v>
      </c>
      <c r="F839" s="103">
        <v>35.309899999999999</v>
      </c>
      <c r="G839" s="103">
        <v>43.369124365799998</v>
      </c>
      <c r="H839" s="102">
        <v>430</v>
      </c>
      <c r="I839" s="102">
        <v>2580</v>
      </c>
      <c r="J839" s="103"/>
      <c r="K839" s="103"/>
      <c r="L839" s="103"/>
      <c r="M839" s="103">
        <v>420</v>
      </c>
      <c r="N839" s="103">
        <v>10</v>
      </c>
      <c r="O839" s="103"/>
      <c r="P839" s="103"/>
      <c r="Q839" s="103"/>
      <c r="R839" s="103"/>
      <c r="S839" s="103"/>
      <c r="T839" s="103"/>
      <c r="U839" s="103"/>
      <c r="V839" s="103"/>
      <c r="W839" s="103"/>
      <c r="X839" s="103"/>
      <c r="Y839" s="103"/>
      <c r="Z839" s="103"/>
      <c r="AA839" s="103"/>
      <c r="AB839" s="103"/>
      <c r="AC839" s="103">
        <v>280</v>
      </c>
      <c r="AD839" s="103"/>
      <c r="AE839" s="103"/>
      <c r="AF839" s="103"/>
      <c r="AG839" s="103"/>
      <c r="AH839" s="103"/>
      <c r="AI839" s="103">
        <v>150</v>
      </c>
      <c r="AJ839" s="103"/>
      <c r="AK839" s="103"/>
      <c r="AL839" s="103"/>
      <c r="AM839" s="103"/>
      <c r="AN839" s="103">
        <v>80</v>
      </c>
      <c r="AO839" s="103">
        <v>80</v>
      </c>
      <c r="AP839" s="103">
        <v>60</v>
      </c>
      <c r="AQ839" s="103">
        <v>90</v>
      </c>
      <c r="AR839" s="103">
        <v>40</v>
      </c>
      <c r="AS839" s="103">
        <v>50</v>
      </c>
      <c r="AT839" s="103">
        <v>30</v>
      </c>
      <c r="AU839" s="103"/>
      <c r="AV839" s="103"/>
      <c r="AW839" s="104" t="str">
        <f>HYPERLINK("http://www.openstreetmap.org/?mlat=35.3099&amp;mlon=43.3691&amp;zoom=12#map=12/35.3099/43.3691","Maplink1")</f>
        <v>Maplink1</v>
      </c>
      <c r="AX839" s="104" t="str">
        <f>HYPERLINK("https://www.google.iq/maps/search/+35.3099,43.3691/@35.3099,43.3691,14z?hl=en","Maplink2")</f>
        <v>Maplink2</v>
      </c>
      <c r="AY839" s="104" t="str">
        <f>HYPERLINK("http://www.bing.com/maps/?lvl=14&amp;sty=h&amp;cp=35.3099~43.3691&amp;sp=point.35.3099_43.3691","Maplink3")</f>
        <v>Maplink3</v>
      </c>
    </row>
    <row r="840" spans="1:51" x14ac:dyDescent="0.2">
      <c r="A840" s="102">
        <v>14963</v>
      </c>
      <c r="B840" s="103" t="s">
        <v>34</v>
      </c>
      <c r="C840" s="103" t="s">
        <v>95</v>
      </c>
      <c r="D840" s="103" t="s">
        <v>1600</v>
      </c>
      <c r="E840" s="103" t="s">
        <v>1601</v>
      </c>
      <c r="F840" s="103">
        <v>35.179349999999999</v>
      </c>
      <c r="G840" s="103">
        <v>43.430942614300001</v>
      </c>
      <c r="H840" s="102">
        <v>175</v>
      </c>
      <c r="I840" s="102">
        <v>1050</v>
      </c>
      <c r="J840" s="103"/>
      <c r="K840" s="103"/>
      <c r="L840" s="103"/>
      <c r="M840" s="103">
        <v>170</v>
      </c>
      <c r="N840" s="103">
        <v>5</v>
      </c>
      <c r="O840" s="103"/>
      <c r="P840" s="103"/>
      <c r="Q840" s="103"/>
      <c r="R840" s="103"/>
      <c r="S840" s="103"/>
      <c r="T840" s="103"/>
      <c r="U840" s="103"/>
      <c r="V840" s="103"/>
      <c r="W840" s="103"/>
      <c r="X840" s="103"/>
      <c r="Y840" s="103"/>
      <c r="Z840" s="103"/>
      <c r="AA840" s="103"/>
      <c r="AB840" s="103"/>
      <c r="AC840" s="103">
        <v>140</v>
      </c>
      <c r="AD840" s="103"/>
      <c r="AE840" s="103"/>
      <c r="AF840" s="103"/>
      <c r="AG840" s="103"/>
      <c r="AH840" s="103"/>
      <c r="AI840" s="103">
        <v>35</v>
      </c>
      <c r="AJ840" s="103"/>
      <c r="AK840" s="103"/>
      <c r="AL840" s="103"/>
      <c r="AM840" s="103"/>
      <c r="AN840" s="103"/>
      <c r="AO840" s="103">
        <v>5</v>
      </c>
      <c r="AP840" s="103">
        <v>15</v>
      </c>
      <c r="AQ840" s="103">
        <v>10</v>
      </c>
      <c r="AR840" s="103">
        <v>70</v>
      </c>
      <c r="AS840" s="103">
        <v>40</v>
      </c>
      <c r="AT840" s="103">
        <v>35</v>
      </c>
      <c r="AU840" s="103"/>
      <c r="AV840" s="103"/>
      <c r="AW840" s="104" t="str">
        <f>HYPERLINK("http://www.openstreetmap.org/?mlat=35.1793&amp;mlon=43.4309&amp;zoom=12#map=12/35.1793/43.4309","Maplink1")</f>
        <v>Maplink1</v>
      </c>
      <c r="AX840" s="104" t="str">
        <f>HYPERLINK("https://www.google.iq/maps/search/+35.1793,43.4309/@35.1793,43.4309,14z?hl=en","Maplink2")</f>
        <v>Maplink2</v>
      </c>
      <c r="AY840" s="104" t="str">
        <f>HYPERLINK("http://www.bing.com/maps/?lvl=14&amp;sty=h&amp;cp=35.1793~43.4309&amp;sp=point.35.1793_43.4309","Maplink3")</f>
        <v>Maplink3</v>
      </c>
    </row>
    <row r="841" spans="1:51" x14ac:dyDescent="0.2">
      <c r="A841" s="102">
        <v>15232</v>
      </c>
      <c r="B841" s="103" t="s">
        <v>34</v>
      </c>
      <c r="C841" s="103" t="s">
        <v>95</v>
      </c>
      <c r="D841" s="103" t="s">
        <v>1602</v>
      </c>
      <c r="E841" s="103" t="s">
        <v>1603</v>
      </c>
      <c r="F841" s="103">
        <v>35.289316999999997</v>
      </c>
      <c r="G841" s="103">
        <v>43.559179947700002</v>
      </c>
      <c r="H841" s="102">
        <v>38</v>
      </c>
      <c r="I841" s="102">
        <v>228</v>
      </c>
      <c r="J841" s="103"/>
      <c r="K841" s="103"/>
      <c r="L841" s="103"/>
      <c r="M841" s="103">
        <v>35</v>
      </c>
      <c r="N841" s="103">
        <v>3</v>
      </c>
      <c r="O841" s="103"/>
      <c r="P841" s="103"/>
      <c r="Q841" s="103"/>
      <c r="R841" s="103"/>
      <c r="S841" s="103"/>
      <c r="T841" s="103"/>
      <c r="U841" s="103"/>
      <c r="V841" s="103"/>
      <c r="W841" s="103"/>
      <c r="X841" s="103"/>
      <c r="Y841" s="103"/>
      <c r="Z841" s="103"/>
      <c r="AA841" s="103"/>
      <c r="AB841" s="103"/>
      <c r="AC841" s="103">
        <v>37</v>
      </c>
      <c r="AD841" s="103"/>
      <c r="AE841" s="103"/>
      <c r="AF841" s="103"/>
      <c r="AG841" s="103"/>
      <c r="AH841" s="103"/>
      <c r="AI841" s="103">
        <v>1</v>
      </c>
      <c r="AJ841" s="103"/>
      <c r="AK841" s="103"/>
      <c r="AL841" s="103"/>
      <c r="AM841" s="103"/>
      <c r="AN841" s="103"/>
      <c r="AO841" s="103">
        <v>5</v>
      </c>
      <c r="AP841" s="103"/>
      <c r="AQ841" s="103">
        <v>5</v>
      </c>
      <c r="AR841" s="103">
        <v>10</v>
      </c>
      <c r="AS841" s="103">
        <v>13</v>
      </c>
      <c r="AT841" s="103">
        <v>5</v>
      </c>
      <c r="AU841" s="103"/>
      <c r="AV841" s="103"/>
      <c r="AW841" s="104" t="str">
        <f>HYPERLINK("http://www.openstreetmap.org/?mlat=35.2893&amp;mlon=43.5592&amp;zoom=12#map=12/35.2893/43.5592","Maplink1")</f>
        <v>Maplink1</v>
      </c>
      <c r="AX841" s="104" t="str">
        <f>HYPERLINK("https://www.google.iq/maps/search/+35.2893,43.5592/@35.2893,43.5592,14z?hl=en","Maplink2")</f>
        <v>Maplink2</v>
      </c>
      <c r="AY841" s="104" t="str">
        <f>HYPERLINK("http://www.bing.com/maps/?lvl=14&amp;sty=h&amp;cp=35.2893~43.5592&amp;sp=point.35.2893_43.5592","Maplink3")</f>
        <v>Maplink3</v>
      </c>
    </row>
    <row r="842" spans="1:51" x14ac:dyDescent="0.2">
      <c r="A842" s="102">
        <v>15064</v>
      </c>
      <c r="B842" s="103" t="s">
        <v>34</v>
      </c>
      <c r="C842" s="103" t="s">
        <v>95</v>
      </c>
      <c r="D842" s="103" t="s">
        <v>1604</v>
      </c>
      <c r="E842" s="103" t="s">
        <v>1605</v>
      </c>
      <c r="F842" s="103">
        <v>35.065550000000002</v>
      </c>
      <c r="G842" s="103">
        <v>43.5487899317</v>
      </c>
      <c r="H842" s="102">
        <v>270</v>
      </c>
      <c r="I842" s="102">
        <v>1620</v>
      </c>
      <c r="J842" s="103"/>
      <c r="K842" s="103"/>
      <c r="L842" s="103"/>
      <c r="M842" s="103">
        <v>265</v>
      </c>
      <c r="N842" s="103">
        <v>5</v>
      </c>
      <c r="O842" s="103"/>
      <c r="P842" s="103"/>
      <c r="Q842" s="103"/>
      <c r="R842" s="103"/>
      <c r="S842" s="103"/>
      <c r="T842" s="103"/>
      <c r="U842" s="103"/>
      <c r="V842" s="103"/>
      <c r="W842" s="103"/>
      <c r="X842" s="103"/>
      <c r="Y842" s="103"/>
      <c r="Z842" s="103"/>
      <c r="AA842" s="103"/>
      <c r="AB842" s="103"/>
      <c r="AC842" s="103">
        <v>40</v>
      </c>
      <c r="AD842" s="103"/>
      <c r="AE842" s="103"/>
      <c r="AF842" s="103"/>
      <c r="AG842" s="103"/>
      <c r="AH842" s="103"/>
      <c r="AI842" s="103">
        <v>230</v>
      </c>
      <c r="AJ842" s="103"/>
      <c r="AK842" s="103"/>
      <c r="AL842" s="103"/>
      <c r="AM842" s="103"/>
      <c r="AN842" s="103">
        <v>40</v>
      </c>
      <c r="AO842" s="103">
        <v>60</v>
      </c>
      <c r="AP842" s="103">
        <v>40</v>
      </c>
      <c r="AQ842" s="103">
        <v>50</v>
      </c>
      <c r="AR842" s="103">
        <v>30</v>
      </c>
      <c r="AS842" s="103">
        <v>30</v>
      </c>
      <c r="AT842" s="103">
        <v>20</v>
      </c>
      <c r="AU842" s="103"/>
      <c r="AV842" s="103"/>
      <c r="AW842" s="104" t="str">
        <f>HYPERLINK("http://www.openstreetmap.org/?mlat=35.0656&amp;mlon=43.5488&amp;zoom=12#map=12/35.0656/43.5488","Maplink1")</f>
        <v>Maplink1</v>
      </c>
      <c r="AX842" s="104" t="str">
        <f>HYPERLINK("https://www.google.iq/maps/search/+35.0656,43.5488/@35.0656,43.5488,14z?hl=en","Maplink2")</f>
        <v>Maplink2</v>
      </c>
      <c r="AY842" s="104" t="str">
        <f>HYPERLINK("http://www.bing.com/maps/?lvl=14&amp;sty=h&amp;cp=35.0656~43.5488&amp;sp=point.35.0656_43.5488","Maplink3")</f>
        <v>Maplink3</v>
      </c>
    </row>
    <row r="843" spans="1:51" x14ac:dyDescent="0.2">
      <c r="A843" s="102">
        <v>33575</v>
      </c>
      <c r="B843" s="103" t="s">
        <v>34</v>
      </c>
      <c r="C843" s="103" t="s">
        <v>95</v>
      </c>
      <c r="D843" s="103" t="s">
        <v>1606</v>
      </c>
      <c r="E843" s="103" t="s">
        <v>1607</v>
      </c>
      <c r="F843" s="103">
        <v>35.795169999999999</v>
      </c>
      <c r="G843" s="103">
        <v>43.794351456500003</v>
      </c>
      <c r="H843" s="102">
        <v>38</v>
      </c>
      <c r="I843" s="102">
        <v>228</v>
      </c>
      <c r="J843" s="103"/>
      <c r="K843" s="103"/>
      <c r="L843" s="103"/>
      <c r="M843" s="103">
        <v>38</v>
      </c>
      <c r="N843" s="103"/>
      <c r="O843" s="103"/>
      <c r="P843" s="103"/>
      <c r="Q843" s="103"/>
      <c r="R843" s="103"/>
      <c r="S843" s="103"/>
      <c r="T843" s="103"/>
      <c r="U843" s="103"/>
      <c r="V843" s="103"/>
      <c r="W843" s="103"/>
      <c r="X843" s="103"/>
      <c r="Y843" s="103"/>
      <c r="Z843" s="103"/>
      <c r="AA843" s="103"/>
      <c r="AB843" s="103"/>
      <c r="AC843" s="103">
        <v>37</v>
      </c>
      <c r="AD843" s="103"/>
      <c r="AE843" s="103"/>
      <c r="AF843" s="103"/>
      <c r="AG843" s="103"/>
      <c r="AH843" s="103"/>
      <c r="AI843" s="103">
        <v>1</v>
      </c>
      <c r="AJ843" s="103"/>
      <c r="AK843" s="103"/>
      <c r="AL843" s="103"/>
      <c r="AM843" s="103"/>
      <c r="AN843" s="103">
        <v>3</v>
      </c>
      <c r="AO843" s="103">
        <v>5</v>
      </c>
      <c r="AP843" s="103">
        <v>10</v>
      </c>
      <c r="AQ843" s="103">
        <v>10</v>
      </c>
      <c r="AR843" s="103">
        <v>10</v>
      </c>
      <c r="AS843" s="103"/>
      <c r="AT843" s="103"/>
      <c r="AU843" s="103"/>
      <c r="AV843" s="103"/>
      <c r="AW843" s="104" t="str">
        <f>HYPERLINK("http://www.openstreetmap.org/?mlat=35.7952&amp;mlon=43.7944&amp;zoom=12#map=12/35.7952/43.7944","Maplink1")</f>
        <v>Maplink1</v>
      </c>
      <c r="AX843" s="104" t="str">
        <f>HYPERLINK("https://www.google.iq/maps/search/+35.7952,43.7944/@35.7952,43.7944,14z?hl=en","Maplink2")</f>
        <v>Maplink2</v>
      </c>
      <c r="AY843" s="104" t="str">
        <f>HYPERLINK("http://www.bing.com/maps/?lvl=14&amp;sty=h&amp;cp=35.7952~43.7944&amp;sp=point.35.7952_43.7944","Maplink3")</f>
        <v>Maplink3</v>
      </c>
    </row>
    <row r="844" spans="1:51" x14ac:dyDescent="0.2">
      <c r="A844" s="102">
        <v>22084</v>
      </c>
      <c r="B844" s="103" t="s">
        <v>34</v>
      </c>
      <c r="C844" s="103" t="s">
        <v>95</v>
      </c>
      <c r="D844" s="103" t="s">
        <v>1773</v>
      </c>
      <c r="E844" s="103" t="s">
        <v>1774</v>
      </c>
      <c r="F844" s="103">
        <v>35.32311</v>
      </c>
      <c r="G844" s="103">
        <v>43.766069104700001</v>
      </c>
      <c r="H844" s="102">
        <v>295</v>
      </c>
      <c r="I844" s="102">
        <v>1770</v>
      </c>
      <c r="J844" s="103"/>
      <c r="K844" s="103"/>
      <c r="L844" s="103"/>
      <c r="M844" s="103">
        <v>275</v>
      </c>
      <c r="N844" s="103">
        <v>20</v>
      </c>
      <c r="O844" s="103"/>
      <c r="P844" s="103"/>
      <c r="Q844" s="103"/>
      <c r="R844" s="103"/>
      <c r="S844" s="103"/>
      <c r="T844" s="103"/>
      <c r="U844" s="103"/>
      <c r="V844" s="103"/>
      <c r="W844" s="103"/>
      <c r="X844" s="103"/>
      <c r="Y844" s="103"/>
      <c r="Z844" s="103"/>
      <c r="AA844" s="103"/>
      <c r="AB844" s="103"/>
      <c r="AC844" s="103">
        <v>235</v>
      </c>
      <c r="AD844" s="103"/>
      <c r="AE844" s="103"/>
      <c r="AF844" s="103"/>
      <c r="AG844" s="103"/>
      <c r="AH844" s="103"/>
      <c r="AI844" s="103">
        <v>55</v>
      </c>
      <c r="AJ844" s="103">
        <v>5</v>
      </c>
      <c r="AK844" s="103"/>
      <c r="AL844" s="103"/>
      <c r="AM844" s="103"/>
      <c r="AN844" s="103">
        <v>35</v>
      </c>
      <c r="AO844" s="103">
        <v>40</v>
      </c>
      <c r="AP844" s="103">
        <v>55</v>
      </c>
      <c r="AQ844" s="103">
        <v>60</v>
      </c>
      <c r="AR844" s="103">
        <v>35</v>
      </c>
      <c r="AS844" s="103">
        <v>40</v>
      </c>
      <c r="AT844" s="103">
        <v>30</v>
      </c>
      <c r="AU844" s="103"/>
      <c r="AV844" s="103"/>
      <c r="AW844" s="104" t="str">
        <f>HYPERLINK("http://www.openstreetmap.org/?mlat=35.3231&amp;mlon=43.7661&amp;zoom=12#map=12/35.3231/43.7661","Maplink1")</f>
        <v>Maplink1</v>
      </c>
      <c r="AX844" s="104" t="str">
        <f>HYPERLINK("https://www.google.iq/maps/search/+35.3231,43.7661/@35.3231,43.7661,14z?hl=en","Maplink2")</f>
        <v>Maplink2</v>
      </c>
      <c r="AY844" s="104" t="str">
        <f>HYPERLINK("http://www.bing.com/maps/?lvl=14&amp;sty=h&amp;cp=35.3231~43.7661&amp;sp=point.35.3231_43.7661","Maplink3")</f>
        <v>Maplink3</v>
      </c>
    </row>
    <row r="845" spans="1:51" x14ac:dyDescent="0.2">
      <c r="A845" s="102">
        <v>14664</v>
      </c>
      <c r="B845" s="103" t="s">
        <v>34</v>
      </c>
      <c r="C845" s="103" t="s">
        <v>95</v>
      </c>
      <c r="D845" s="103" t="s">
        <v>1775</v>
      </c>
      <c r="E845" s="103" t="s">
        <v>1776</v>
      </c>
      <c r="F845" s="103">
        <v>35.270000000000003</v>
      </c>
      <c r="G845" s="103">
        <v>43.481854080200002</v>
      </c>
      <c r="H845" s="102">
        <v>300</v>
      </c>
      <c r="I845" s="102">
        <v>1800</v>
      </c>
      <c r="J845" s="103"/>
      <c r="K845" s="103"/>
      <c r="L845" s="103"/>
      <c r="M845" s="103">
        <v>296</v>
      </c>
      <c r="N845" s="103">
        <v>4</v>
      </c>
      <c r="O845" s="103"/>
      <c r="P845" s="103"/>
      <c r="Q845" s="103"/>
      <c r="R845" s="103"/>
      <c r="S845" s="103"/>
      <c r="T845" s="103"/>
      <c r="U845" s="103"/>
      <c r="V845" s="103"/>
      <c r="W845" s="103"/>
      <c r="X845" s="103"/>
      <c r="Y845" s="103"/>
      <c r="Z845" s="103"/>
      <c r="AA845" s="103"/>
      <c r="AB845" s="103"/>
      <c r="AC845" s="103">
        <v>296</v>
      </c>
      <c r="AD845" s="103"/>
      <c r="AE845" s="103"/>
      <c r="AF845" s="103"/>
      <c r="AG845" s="103"/>
      <c r="AH845" s="103"/>
      <c r="AI845" s="103">
        <v>4</v>
      </c>
      <c r="AJ845" s="103"/>
      <c r="AK845" s="103"/>
      <c r="AL845" s="103"/>
      <c r="AM845" s="103"/>
      <c r="AN845" s="103"/>
      <c r="AO845" s="103"/>
      <c r="AP845" s="103">
        <v>35</v>
      </c>
      <c r="AQ845" s="103">
        <v>80</v>
      </c>
      <c r="AR845" s="103">
        <v>65</v>
      </c>
      <c r="AS845" s="103">
        <v>90</v>
      </c>
      <c r="AT845" s="103">
        <v>30</v>
      </c>
      <c r="AU845" s="103"/>
      <c r="AV845" s="103"/>
      <c r="AW845" s="104" t="str">
        <f>HYPERLINK("http://www.openstreetmap.org/?mlat=35.27&amp;mlon=43.4819&amp;zoom=12#map=12/35.27/43.4819","Maplink1")</f>
        <v>Maplink1</v>
      </c>
      <c r="AX845" s="104" t="str">
        <f>HYPERLINK("https://www.google.iq/maps/search/+35.27,43.4819/@35.27,43.4819,14z?hl=en","Maplink2")</f>
        <v>Maplink2</v>
      </c>
      <c r="AY845" s="104" t="str">
        <f>HYPERLINK("http://www.bing.com/maps/?lvl=14&amp;sty=h&amp;cp=35.27~43.4819&amp;sp=point.35.27_43.4819","Maplink3")</f>
        <v>Maplink3</v>
      </c>
    </row>
    <row r="846" spans="1:51" x14ac:dyDescent="0.2">
      <c r="A846" s="102">
        <v>15185</v>
      </c>
      <c r="B846" s="103" t="s">
        <v>34</v>
      </c>
      <c r="C846" s="103" t="s">
        <v>95</v>
      </c>
      <c r="D846" s="103" t="s">
        <v>1777</v>
      </c>
      <c r="E846" s="103" t="s">
        <v>1029</v>
      </c>
      <c r="F846" s="103">
        <v>35.332169999999998</v>
      </c>
      <c r="G846" s="103">
        <v>43.764087293800003</v>
      </c>
      <c r="H846" s="102">
        <v>49</v>
      </c>
      <c r="I846" s="102">
        <v>294</v>
      </c>
      <c r="J846" s="103"/>
      <c r="K846" s="103"/>
      <c r="L846" s="103"/>
      <c r="M846" s="103">
        <v>49</v>
      </c>
      <c r="N846" s="103"/>
      <c r="O846" s="103"/>
      <c r="P846" s="103"/>
      <c r="Q846" s="103"/>
      <c r="R846" s="103"/>
      <c r="S846" s="103"/>
      <c r="T846" s="103"/>
      <c r="U846" s="103"/>
      <c r="V846" s="103"/>
      <c r="W846" s="103"/>
      <c r="X846" s="103"/>
      <c r="Y846" s="103"/>
      <c r="Z846" s="103"/>
      <c r="AA846" s="103"/>
      <c r="AB846" s="103"/>
      <c r="AC846" s="103">
        <v>43</v>
      </c>
      <c r="AD846" s="103"/>
      <c r="AE846" s="103"/>
      <c r="AF846" s="103"/>
      <c r="AG846" s="103"/>
      <c r="AH846" s="103"/>
      <c r="AI846" s="103">
        <v>6</v>
      </c>
      <c r="AJ846" s="103"/>
      <c r="AK846" s="103"/>
      <c r="AL846" s="103"/>
      <c r="AM846" s="103"/>
      <c r="AN846" s="103"/>
      <c r="AO846" s="103">
        <v>5</v>
      </c>
      <c r="AP846" s="103">
        <v>7</v>
      </c>
      <c r="AQ846" s="103">
        <v>9</v>
      </c>
      <c r="AR846" s="103">
        <v>12</v>
      </c>
      <c r="AS846" s="103">
        <v>10</v>
      </c>
      <c r="AT846" s="103">
        <v>6</v>
      </c>
      <c r="AU846" s="103"/>
      <c r="AV846" s="103"/>
      <c r="AW846" s="104" t="str">
        <f>HYPERLINK("http://www.openstreetmap.org/?mlat=35.3322&amp;mlon=43.7641&amp;zoom=12#map=12/35.3322/43.7641","Maplink1")</f>
        <v>Maplink1</v>
      </c>
      <c r="AX846" s="104" t="str">
        <f>HYPERLINK("https://www.google.iq/maps/search/+35.3322,43.7641/@35.3322,43.7641,14z?hl=en","Maplink2")</f>
        <v>Maplink2</v>
      </c>
      <c r="AY846" s="104" t="str">
        <f>HYPERLINK("http://www.bing.com/maps/?lvl=14&amp;sty=h&amp;cp=35.3322~43.7641&amp;sp=point.35.3322_43.7641","Maplink3")</f>
        <v>Maplink3</v>
      </c>
    </row>
    <row r="847" spans="1:51" x14ac:dyDescent="0.2">
      <c r="A847" s="102">
        <v>33188</v>
      </c>
      <c r="B847" s="103" t="s">
        <v>34</v>
      </c>
      <c r="C847" s="103" t="s">
        <v>95</v>
      </c>
      <c r="D847" s="103" t="s">
        <v>1735</v>
      </c>
      <c r="E847" s="103" t="s">
        <v>1736</v>
      </c>
      <c r="F847" s="103">
        <v>35.273299999999999</v>
      </c>
      <c r="G847" s="103">
        <v>44.0959</v>
      </c>
      <c r="H847" s="102">
        <v>46</v>
      </c>
      <c r="I847" s="102">
        <v>276</v>
      </c>
      <c r="J847" s="103"/>
      <c r="K847" s="103"/>
      <c r="L847" s="103"/>
      <c r="M847" s="103">
        <v>46</v>
      </c>
      <c r="N847" s="103"/>
      <c r="O847" s="103"/>
      <c r="P847" s="103"/>
      <c r="Q847" s="103"/>
      <c r="R847" s="103"/>
      <c r="S847" s="103"/>
      <c r="T847" s="103"/>
      <c r="U847" s="103"/>
      <c r="V847" s="103"/>
      <c r="W847" s="103"/>
      <c r="X847" s="103"/>
      <c r="Y847" s="103"/>
      <c r="Z847" s="103"/>
      <c r="AA847" s="103"/>
      <c r="AB847" s="103"/>
      <c r="AC847" s="103">
        <v>46</v>
      </c>
      <c r="AD847" s="103"/>
      <c r="AE847" s="103"/>
      <c r="AF847" s="103"/>
      <c r="AG847" s="103"/>
      <c r="AH847" s="103"/>
      <c r="AI847" s="103"/>
      <c r="AJ847" s="103"/>
      <c r="AK847" s="103"/>
      <c r="AL847" s="103"/>
      <c r="AM847" s="103"/>
      <c r="AN847" s="103"/>
      <c r="AO847" s="103">
        <v>7</v>
      </c>
      <c r="AP847" s="103">
        <v>15</v>
      </c>
      <c r="AQ847" s="103">
        <v>5</v>
      </c>
      <c r="AR847" s="103">
        <v>7</v>
      </c>
      <c r="AS847" s="103">
        <v>12</v>
      </c>
      <c r="AT847" s="103"/>
      <c r="AU847" s="103"/>
      <c r="AV847" s="103"/>
      <c r="AW847" s="104" t="str">
        <f>HYPERLINK("http://www.openstreetmap.org/?mlat=35.2733&amp;mlon=44.0959&amp;zoom=12#map=12/35.2733/44.0959","Maplink1")</f>
        <v>Maplink1</v>
      </c>
      <c r="AX847" s="104" t="str">
        <f>HYPERLINK("https://www.google.iq/maps/search/+35.2733,44.0959/@35.2733,44.0959,14z?hl=en","Maplink2")</f>
        <v>Maplink2</v>
      </c>
      <c r="AY847" s="104" t="str">
        <f>HYPERLINK("http://www.bing.com/maps/?lvl=14&amp;sty=h&amp;cp=35.2733~44.0959&amp;sp=point.35.2733_44.0959","Maplink3")</f>
        <v>Maplink3</v>
      </c>
    </row>
    <row r="848" spans="1:51" x14ac:dyDescent="0.2">
      <c r="A848" s="102">
        <v>15356</v>
      </c>
      <c r="B848" s="103" t="s">
        <v>34</v>
      </c>
      <c r="C848" s="103" t="s">
        <v>95</v>
      </c>
      <c r="D848" s="103" t="s">
        <v>1737</v>
      </c>
      <c r="E848" s="103" t="s">
        <v>1738</v>
      </c>
      <c r="F848" s="103">
        <v>35.389665000000001</v>
      </c>
      <c r="G848" s="103">
        <v>43.889259667799998</v>
      </c>
      <c r="H848" s="102">
        <v>32</v>
      </c>
      <c r="I848" s="102">
        <v>192</v>
      </c>
      <c r="J848" s="103"/>
      <c r="K848" s="103"/>
      <c r="L848" s="103"/>
      <c r="M848" s="103">
        <v>32</v>
      </c>
      <c r="N848" s="103"/>
      <c r="O848" s="103"/>
      <c r="P848" s="103"/>
      <c r="Q848" s="103"/>
      <c r="R848" s="103"/>
      <c r="S848" s="103"/>
      <c r="T848" s="103"/>
      <c r="U848" s="103"/>
      <c r="V848" s="103"/>
      <c r="W848" s="103"/>
      <c r="X848" s="103"/>
      <c r="Y848" s="103"/>
      <c r="Z848" s="103"/>
      <c r="AA848" s="103"/>
      <c r="AB848" s="103"/>
      <c r="AC848" s="103">
        <v>32</v>
      </c>
      <c r="AD848" s="103"/>
      <c r="AE848" s="103"/>
      <c r="AF848" s="103"/>
      <c r="AG848" s="103"/>
      <c r="AH848" s="103"/>
      <c r="AI848" s="103"/>
      <c r="AJ848" s="103"/>
      <c r="AK848" s="103"/>
      <c r="AL848" s="103"/>
      <c r="AM848" s="103"/>
      <c r="AN848" s="103">
        <v>5</v>
      </c>
      <c r="AO848" s="103">
        <v>5</v>
      </c>
      <c r="AP848" s="103">
        <v>6</v>
      </c>
      <c r="AQ848" s="103">
        <v>7</v>
      </c>
      <c r="AR848" s="103">
        <v>2</v>
      </c>
      <c r="AS848" s="103">
        <v>5</v>
      </c>
      <c r="AT848" s="103">
        <v>2</v>
      </c>
      <c r="AU848" s="103"/>
      <c r="AV848" s="103"/>
      <c r="AW848" s="104" t="str">
        <f>HYPERLINK("http://www.openstreetmap.org/?mlat=35.3897&amp;mlon=43.8893&amp;zoom=12#map=12/35.3897/43.8893","Maplink1")</f>
        <v>Maplink1</v>
      </c>
      <c r="AX848" s="104" t="str">
        <f>HYPERLINK("https://www.google.iq/maps/search/+35.3897,43.8893/@35.3897,43.8893,14z?hl=en","Maplink2")</f>
        <v>Maplink2</v>
      </c>
      <c r="AY848" s="104" t="str">
        <f>HYPERLINK("http://www.bing.com/maps/?lvl=14&amp;sty=h&amp;cp=35.3897~43.8893&amp;sp=point.35.3897_43.8893","Maplink3")</f>
        <v>Maplink3</v>
      </c>
    </row>
    <row r="849" spans="1:51" x14ac:dyDescent="0.2">
      <c r="A849" s="102">
        <v>33460</v>
      </c>
      <c r="B849" s="103" t="s">
        <v>34</v>
      </c>
      <c r="C849" s="103" t="s">
        <v>95</v>
      </c>
      <c r="D849" s="103" t="s">
        <v>1739</v>
      </c>
      <c r="E849" s="103" t="s">
        <v>1740</v>
      </c>
      <c r="F849" s="103">
        <v>35.330910000000003</v>
      </c>
      <c r="G849" s="103">
        <v>43.778144437000002</v>
      </c>
      <c r="H849" s="102">
        <v>35</v>
      </c>
      <c r="I849" s="102">
        <v>210</v>
      </c>
      <c r="J849" s="103"/>
      <c r="K849" s="103"/>
      <c r="L849" s="103"/>
      <c r="M849" s="103">
        <v>35</v>
      </c>
      <c r="N849" s="103"/>
      <c r="O849" s="103"/>
      <c r="P849" s="103"/>
      <c r="Q849" s="103"/>
      <c r="R849" s="103"/>
      <c r="S849" s="103"/>
      <c r="T849" s="103"/>
      <c r="U849" s="103"/>
      <c r="V849" s="103"/>
      <c r="W849" s="103"/>
      <c r="X849" s="103"/>
      <c r="Y849" s="103"/>
      <c r="Z849" s="103"/>
      <c r="AA849" s="103"/>
      <c r="AB849" s="103"/>
      <c r="AC849" s="103">
        <v>35</v>
      </c>
      <c r="AD849" s="103"/>
      <c r="AE849" s="103"/>
      <c r="AF849" s="103"/>
      <c r="AG849" s="103"/>
      <c r="AH849" s="103"/>
      <c r="AI849" s="103"/>
      <c r="AJ849" s="103"/>
      <c r="AK849" s="103"/>
      <c r="AL849" s="103"/>
      <c r="AM849" s="103"/>
      <c r="AN849" s="103">
        <v>6</v>
      </c>
      <c r="AO849" s="103">
        <v>3</v>
      </c>
      <c r="AP849" s="103">
        <v>7</v>
      </c>
      <c r="AQ849" s="103">
        <v>6</v>
      </c>
      <c r="AR849" s="103">
        <v>6</v>
      </c>
      <c r="AS849" s="103">
        <v>7</v>
      </c>
      <c r="AT849" s="103"/>
      <c r="AU849" s="103"/>
      <c r="AV849" s="103"/>
      <c r="AW849" s="104" t="str">
        <f>HYPERLINK("http://www.openstreetmap.org/?mlat=35.3309&amp;mlon=43.7781&amp;zoom=12#map=12/35.3309/43.7781","Maplink1")</f>
        <v>Maplink1</v>
      </c>
      <c r="AX849" s="104" t="str">
        <f>HYPERLINK("https://www.google.iq/maps/search/+35.3309,43.7781/@35.3309,43.7781,14z?hl=en","Maplink2")</f>
        <v>Maplink2</v>
      </c>
      <c r="AY849" s="104" t="str">
        <f>HYPERLINK("http://www.bing.com/maps/?lvl=14&amp;sty=h&amp;cp=35.3309~43.7781&amp;sp=point.35.3309_43.7781","Maplink3")</f>
        <v>Maplink3</v>
      </c>
    </row>
    <row r="850" spans="1:51" x14ac:dyDescent="0.2">
      <c r="A850" s="102">
        <v>15408</v>
      </c>
      <c r="B850" s="103" t="s">
        <v>34</v>
      </c>
      <c r="C850" s="103" t="s">
        <v>95</v>
      </c>
      <c r="D850" s="103" t="s">
        <v>1585</v>
      </c>
      <c r="E850" s="103" t="s">
        <v>1586</v>
      </c>
      <c r="F850" s="103">
        <v>35.4484480498</v>
      </c>
      <c r="G850" s="103">
        <v>43.741916096200001</v>
      </c>
      <c r="H850" s="102">
        <v>171</v>
      </c>
      <c r="I850" s="102">
        <v>1026</v>
      </c>
      <c r="J850" s="103"/>
      <c r="K850" s="103"/>
      <c r="L850" s="103"/>
      <c r="M850" s="103">
        <v>166</v>
      </c>
      <c r="N850" s="103">
        <v>5</v>
      </c>
      <c r="O850" s="103"/>
      <c r="P850" s="103"/>
      <c r="Q850" s="103"/>
      <c r="R850" s="103"/>
      <c r="S850" s="103"/>
      <c r="T850" s="103"/>
      <c r="U850" s="103"/>
      <c r="V850" s="103"/>
      <c r="W850" s="103"/>
      <c r="X850" s="103"/>
      <c r="Y850" s="103"/>
      <c r="Z850" s="103"/>
      <c r="AA850" s="103">
        <v>3</v>
      </c>
      <c r="AB850" s="103"/>
      <c r="AC850" s="103">
        <v>166</v>
      </c>
      <c r="AD850" s="103"/>
      <c r="AE850" s="103"/>
      <c r="AF850" s="103"/>
      <c r="AG850" s="103"/>
      <c r="AH850" s="103"/>
      <c r="AI850" s="103">
        <v>2</v>
      </c>
      <c r="AJ850" s="103"/>
      <c r="AK850" s="103"/>
      <c r="AL850" s="103"/>
      <c r="AM850" s="103"/>
      <c r="AN850" s="103"/>
      <c r="AO850" s="103"/>
      <c r="AP850" s="103"/>
      <c r="AQ850" s="103">
        <v>13</v>
      </c>
      <c r="AR850" s="103">
        <v>45</v>
      </c>
      <c r="AS850" s="103">
        <v>56</v>
      </c>
      <c r="AT850" s="103">
        <v>57</v>
      </c>
      <c r="AU850" s="103"/>
      <c r="AV850" s="103"/>
      <c r="AW850" s="104" t="str">
        <f>HYPERLINK("http://www.openstreetmap.org/?mlat=35.4484&amp;mlon=43.7419&amp;zoom=12#map=12/35.4484/43.7419","Maplink1")</f>
        <v>Maplink1</v>
      </c>
      <c r="AX850" s="104" t="str">
        <f>HYPERLINK("https://www.google.iq/maps/search/+35.4484,43.7419/@35.4484,43.7419,14z?hl=en","Maplink2")</f>
        <v>Maplink2</v>
      </c>
      <c r="AY850" s="104" t="str">
        <f>HYPERLINK("http://www.bing.com/maps/?lvl=14&amp;sty=h&amp;cp=35.4484~43.7419&amp;sp=point.35.4484_43.7419","Maplink3")</f>
        <v>Maplink3</v>
      </c>
    </row>
    <row r="851" spans="1:51" x14ac:dyDescent="0.2">
      <c r="A851" s="102">
        <v>14925</v>
      </c>
      <c r="B851" s="103" t="s">
        <v>34</v>
      </c>
      <c r="C851" s="103" t="s">
        <v>95</v>
      </c>
      <c r="D851" s="103" t="s">
        <v>1587</v>
      </c>
      <c r="E851" s="103" t="s">
        <v>1588</v>
      </c>
      <c r="F851" s="103">
        <v>35.238700000000001</v>
      </c>
      <c r="G851" s="103">
        <v>43.778207478600002</v>
      </c>
      <c r="H851" s="102">
        <v>59</v>
      </c>
      <c r="I851" s="102">
        <v>354</v>
      </c>
      <c r="J851" s="103"/>
      <c r="K851" s="103"/>
      <c r="L851" s="103"/>
      <c r="M851" s="103">
        <v>54</v>
      </c>
      <c r="N851" s="103">
        <v>5</v>
      </c>
      <c r="O851" s="103"/>
      <c r="P851" s="103"/>
      <c r="Q851" s="103"/>
      <c r="R851" s="103"/>
      <c r="S851" s="103"/>
      <c r="T851" s="103"/>
      <c r="U851" s="103"/>
      <c r="V851" s="103"/>
      <c r="W851" s="103"/>
      <c r="X851" s="103"/>
      <c r="Y851" s="103"/>
      <c r="Z851" s="103"/>
      <c r="AA851" s="103"/>
      <c r="AB851" s="103"/>
      <c r="AC851" s="103">
        <v>55</v>
      </c>
      <c r="AD851" s="103"/>
      <c r="AE851" s="103"/>
      <c r="AF851" s="103"/>
      <c r="AG851" s="103"/>
      <c r="AH851" s="103"/>
      <c r="AI851" s="103">
        <v>4</v>
      </c>
      <c r="AJ851" s="103"/>
      <c r="AK851" s="103"/>
      <c r="AL851" s="103"/>
      <c r="AM851" s="103"/>
      <c r="AN851" s="103"/>
      <c r="AO851" s="103">
        <v>5</v>
      </c>
      <c r="AP851" s="103">
        <v>15</v>
      </c>
      <c r="AQ851" s="103">
        <v>7</v>
      </c>
      <c r="AR851" s="103"/>
      <c r="AS851" s="103">
        <v>22</v>
      </c>
      <c r="AT851" s="103">
        <v>10</v>
      </c>
      <c r="AU851" s="103"/>
      <c r="AV851" s="103"/>
      <c r="AW851" s="104" t="str">
        <f>HYPERLINK("http://www.openstreetmap.org/?mlat=35.2387&amp;mlon=43.7782&amp;zoom=12#map=12/35.2387/43.7782","Maplink1")</f>
        <v>Maplink1</v>
      </c>
      <c r="AX851" s="104" t="str">
        <f>HYPERLINK("https://www.google.iq/maps/search/+35.2387,43.7782/@35.2387,43.7782,14z?hl=en","Maplink2")</f>
        <v>Maplink2</v>
      </c>
      <c r="AY851" s="104" t="str">
        <f>HYPERLINK("http://www.bing.com/maps/?lvl=14&amp;sty=h&amp;cp=35.2387~43.7782&amp;sp=point.35.2387_43.7782","Maplink3")</f>
        <v>Maplink3</v>
      </c>
    </row>
    <row r="852" spans="1:51" x14ac:dyDescent="0.2">
      <c r="A852" s="102">
        <v>33386</v>
      </c>
      <c r="B852" s="103" t="s">
        <v>34</v>
      </c>
      <c r="C852" s="103" t="s">
        <v>95</v>
      </c>
      <c r="D852" s="103" t="s">
        <v>1589</v>
      </c>
      <c r="E852" s="103" t="s">
        <v>1233</v>
      </c>
      <c r="F852" s="103">
        <v>35.326360000000001</v>
      </c>
      <c r="G852" s="103">
        <v>43.791330338800002</v>
      </c>
      <c r="H852" s="102">
        <v>57</v>
      </c>
      <c r="I852" s="102">
        <v>342</v>
      </c>
      <c r="J852" s="103"/>
      <c r="K852" s="103"/>
      <c r="L852" s="103"/>
      <c r="M852" s="103">
        <v>42</v>
      </c>
      <c r="N852" s="103">
        <v>15</v>
      </c>
      <c r="O852" s="103"/>
      <c r="P852" s="103"/>
      <c r="Q852" s="103"/>
      <c r="R852" s="103"/>
      <c r="S852" s="103"/>
      <c r="T852" s="103"/>
      <c r="U852" s="103"/>
      <c r="V852" s="103"/>
      <c r="W852" s="103"/>
      <c r="X852" s="103"/>
      <c r="Y852" s="103"/>
      <c r="Z852" s="103"/>
      <c r="AA852" s="103"/>
      <c r="AB852" s="103"/>
      <c r="AC852" s="103">
        <v>57</v>
      </c>
      <c r="AD852" s="103"/>
      <c r="AE852" s="103"/>
      <c r="AF852" s="103"/>
      <c r="AG852" s="103"/>
      <c r="AH852" s="103"/>
      <c r="AI852" s="103"/>
      <c r="AJ852" s="103"/>
      <c r="AK852" s="103"/>
      <c r="AL852" s="103"/>
      <c r="AM852" s="103"/>
      <c r="AN852" s="103"/>
      <c r="AO852" s="103">
        <v>2</v>
      </c>
      <c r="AP852" s="103">
        <v>3</v>
      </c>
      <c r="AQ852" s="103">
        <v>15</v>
      </c>
      <c r="AR852" s="103">
        <v>15</v>
      </c>
      <c r="AS852" s="103">
        <v>15</v>
      </c>
      <c r="AT852" s="103">
        <v>7</v>
      </c>
      <c r="AU852" s="103"/>
      <c r="AV852" s="103"/>
      <c r="AW852" s="104" t="str">
        <f>HYPERLINK("http://www.openstreetmap.org/?mlat=35.3264&amp;mlon=43.7913&amp;zoom=12#map=12/35.3264/43.7913","Maplink1")</f>
        <v>Maplink1</v>
      </c>
      <c r="AX852" s="104" t="str">
        <f>HYPERLINK("https://www.google.iq/maps/search/+35.3264,43.7913/@35.3264,43.7913,14z?hl=en","Maplink2")</f>
        <v>Maplink2</v>
      </c>
      <c r="AY852" s="104" t="str">
        <f>HYPERLINK("http://www.bing.com/maps/?lvl=14&amp;sty=h&amp;cp=35.3264~43.7913&amp;sp=point.35.3264_43.7913","Maplink3")</f>
        <v>Maplink3</v>
      </c>
    </row>
    <row r="853" spans="1:51" x14ac:dyDescent="0.2">
      <c r="A853" s="102">
        <v>21844</v>
      </c>
      <c r="B853" s="103" t="s">
        <v>34</v>
      </c>
      <c r="C853" s="103" t="s">
        <v>95</v>
      </c>
      <c r="D853" s="103" t="s">
        <v>1590</v>
      </c>
      <c r="E853" s="103" t="s">
        <v>1591</v>
      </c>
      <c r="F853" s="103">
        <v>35.324669999999998</v>
      </c>
      <c r="G853" s="103">
        <v>43.7685425811</v>
      </c>
      <c r="H853" s="102">
        <v>480</v>
      </c>
      <c r="I853" s="102">
        <v>2880</v>
      </c>
      <c r="J853" s="103"/>
      <c r="K853" s="103"/>
      <c r="L853" s="103"/>
      <c r="M853" s="103">
        <v>478</v>
      </c>
      <c r="N853" s="103">
        <v>2</v>
      </c>
      <c r="O853" s="103"/>
      <c r="P853" s="103"/>
      <c r="Q853" s="103"/>
      <c r="R853" s="103"/>
      <c r="S853" s="103"/>
      <c r="T853" s="103"/>
      <c r="U853" s="103"/>
      <c r="V853" s="103"/>
      <c r="W853" s="103"/>
      <c r="X853" s="103"/>
      <c r="Y853" s="103"/>
      <c r="Z853" s="103"/>
      <c r="AA853" s="103"/>
      <c r="AB853" s="103"/>
      <c r="AC853" s="103">
        <v>425</v>
      </c>
      <c r="AD853" s="103"/>
      <c r="AE853" s="103"/>
      <c r="AF853" s="103"/>
      <c r="AG853" s="103"/>
      <c r="AH853" s="103"/>
      <c r="AI853" s="103">
        <v>55</v>
      </c>
      <c r="AJ853" s="103"/>
      <c r="AK853" s="103"/>
      <c r="AL853" s="103"/>
      <c r="AM853" s="103"/>
      <c r="AN853" s="103">
        <v>50</v>
      </c>
      <c r="AO853" s="103">
        <v>55</v>
      </c>
      <c r="AP853" s="103">
        <v>75</v>
      </c>
      <c r="AQ853" s="103">
        <v>85</v>
      </c>
      <c r="AR853" s="103">
        <v>95</v>
      </c>
      <c r="AS853" s="103">
        <v>75</v>
      </c>
      <c r="AT853" s="103">
        <v>45</v>
      </c>
      <c r="AU853" s="103"/>
      <c r="AV853" s="103"/>
      <c r="AW853" s="104" t="str">
        <f>HYPERLINK("http://www.openstreetmap.org/?mlat=35.3247&amp;mlon=43.7685&amp;zoom=12#map=12/35.3247/43.7685","Maplink1")</f>
        <v>Maplink1</v>
      </c>
      <c r="AX853" s="104" t="str">
        <f>HYPERLINK("https://www.google.iq/maps/search/+35.3247,43.7685/@35.3247,43.7685,14z?hl=en","Maplink2")</f>
        <v>Maplink2</v>
      </c>
      <c r="AY853" s="104" t="str">
        <f>HYPERLINK("http://www.bing.com/maps/?lvl=14&amp;sty=h&amp;cp=35.3247~43.7685&amp;sp=point.35.3247_43.7685","Maplink3")</f>
        <v>Maplink3</v>
      </c>
    </row>
    <row r="854" spans="1:51" x14ac:dyDescent="0.2">
      <c r="A854" s="102">
        <v>14459</v>
      </c>
      <c r="B854" s="103" t="s">
        <v>34</v>
      </c>
      <c r="C854" s="103" t="s">
        <v>95</v>
      </c>
      <c r="D854" s="103" t="s">
        <v>1592</v>
      </c>
      <c r="E854" s="103" t="s">
        <v>1593</v>
      </c>
      <c r="F854" s="103">
        <v>35.119999999999997</v>
      </c>
      <c r="G854" s="103">
        <v>43.491791024400001</v>
      </c>
      <c r="H854" s="102">
        <v>139</v>
      </c>
      <c r="I854" s="102">
        <v>834</v>
      </c>
      <c r="J854" s="103"/>
      <c r="K854" s="103"/>
      <c r="L854" s="103"/>
      <c r="M854" s="103">
        <v>135</v>
      </c>
      <c r="N854" s="103">
        <v>4</v>
      </c>
      <c r="O854" s="103"/>
      <c r="P854" s="103"/>
      <c r="Q854" s="103"/>
      <c r="R854" s="103"/>
      <c r="S854" s="103"/>
      <c r="T854" s="103"/>
      <c r="U854" s="103"/>
      <c r="V854" s="103"/>
      <c r="W854" s="103"/>
      <c r="X854" s="103"/>
      <c r="Y854" s="103"/>
      <c r="Z854" s="103"/>
      <c r="AA854" s="103"/>
      <c r="AB854" s="103"/>
      <c r="AC854" s="103">
        <v>45</v>
      </c>
      <c r="AD854" s="103"/>
      <c r="AE854" s="103"/>
      <c r="AF854" s="103"/>
      <c r="AG854" s="103"/>
      <c r="AH854" s="103"/>
      <c r="AI854" s="103">
        <v>94</v>
      </c>
      <c r="AJ854" s="103"/>
      <c r="AK854" s="103"/>
      <c r="AL854" s="103"/>
      <c r="AM854" s="103"/>
      <c r="AN854" s="103">
        <v>10</v>
      </c>
      <c r="AO854" s="103">
        <v>15</v>
      </c>
      <c r="AP854" s="103">
        <v>20</v>
      </c>
      <c r="AQ854" s="103">
        <v>28</v>
      </c>
      <c r="AR854" s="103">
        <v>40</v>
      </c>
      <c r="AS854" s="103">
        <v>20</v>
      </c>
      <c r="AT854" s="103">
        <v>6</v>
      </c>
      <c r="AU854" s="103"/>
      <c r="AV854" s="103"/>
      <c r="AW854" s="104" t="str">
        <f>HYPERLINK("http://www.openstreetmap.org/?mlat=35.12&amp;mlon=43.4918&amp;zoom=12#map=12/35.12/43.4918","Maplink1")</f>
        <v>Maplink1</v>
      </c>
      <c r="AX854" s="104" t="str">
        <f>HYPERLINK("https://www.google.iq/maps/search/+35.12,43.4918/@35.12,43.4918,14z?hl=en","Maplink2")</f>
        <v>Maplink2</v>
      </c>
      <c r="AY854" s="104" t="str">
        <f>HYPERLINK("http://www.bing.com/maps/?lvl=14&amp;sty=h&amp;cp=35.12~43.4918&amp;sp=point.35.12_43.4918","Maplink3")</f>
        <v>Maplink3</v>
      </c>
    </row>
    <row r="855" spans="1:51" x14ac:dyDescent="0.2">
      <c r="A855" s="102">
        <v>15614</v>
      </c>
      <c r="B855" s="103" t="s">
        <v>34</v>
      </c>
      <c r="C855" s="103" t="s">
        <v>95</v>
      </c>
      <c r="D855" s="103" t="s">
        <v>1694</v>
      </c>
      <c r="E855" s="103" t="s">
        <v>740</v>
      </c>
      <c r="F855" s="103">
        <v>35.327080000000002</v>
      </c>
      <c r="G855" s="103">
        <v>43.780520000000003</v>
      </c>
      <c r="H855" s="102">
        <v>164</v>
      </c>
      <c r="I855" s="102">
        <v>984</v>
      </c>
      <c r="J855" s="103"/>
      <c r="K855" s="103"/>
      <c r="L855" s="103"/>
      <c r="M855" s="103">
        <v>164</v>
      </c>
      <c r="N855" s="103"/>
      <c r="O855" s="103"/>
      <c r="P855" s="103"/>
      <c r="Q855" s="103"/>
      <c r="R855" s="103"/>
      <c r="S855" s="103"/>
      <c r="T855" s="103"/>
      <c r="U855" s="103"/>
      <c r="V855" s="103"/>
      <c r="W855" s="103"/>
      <c r="X855" s="103"/>
      <c r="Y855" s="103"/>
      <c r="Z855" s="103"/>
      <c r="AA855" s="103"/>
      <c r="AB855" s="103"/>
      <c r="AC855" s="103">
        <v>164</v>
      </c>
      <c r="AD855" s="103"/>
      <c r="AE855" s="103"/>
      <c r="AF855" s="103"/>
      <c r="AG855" s="103"/>
      <c r="AH855" s="103"/>
      <c r="AI855" s="103"/>
      <c r="AJ855" s="103"/>
      <c r="AK855" s="103"/>
      <c r="AL855" s="103"/>
      <c r="AM855" s="103"/>
      <c r="AN855" s="103">
        <v>20</v>
      </c>
      <c r="AO855" s="103">
        <v>20</v>
      </c>
      <c r="AP855" s="103">
        <v>30</v>
      </c>
      <c r="AQ855" s="103">
        <v>34</v>
      </c>
      <c r="AR855" s="103">
        <v>25</v>
      </c>
      <c r="AS855" s="103">
        <v>20</v>
      </c>
      <c r="AT855" s="103">
        <v>15</v>
      </c>
      <c r="AU855" s="103"/>
      <c r="AV855" s="103"/>
      <c r="AW855" s="104" t="str">
        <f>HYPERLINK("http://www.openstreetmap.org/?mlat=35.3271&amp;mlon=43.7805&amp;zoom=12#map=12/35.3271/43.7805","Maplink1")</f>
        <v>Maplink1</v>
      </c>
      <c r="AX855" s="104" t="str">
        <f>HYPERLINK("https://www.google.iq/maps/search/+35.3271,43.7805/@35.3271,43.7805,14z?hl=en","Maplink2")</f>
        <v>Maplink2</v>
      </c>
      <c r="AY855" s="104" t="str">
        <f>HYPERLINK("http://www.bing.com/maps/?lvl=14&amp;sty=h&amp;cp=35.3271~43.7805&amp;sp=point.35.3271_43.7805","Maplink3")</f>
        <v>Maplink3</v>
      </c>
    </row>
    <row r="856" spans="1:51" x14ac:dyDescent="0.2">
      <c r="A856" s="102">
        <v>15075</v>
      </c>
      <c r="B856" s="103" t="s">
        <v>34</v>
      </c>
      <c r="C856" s="103" t="s">
        <v>95</v>
      </c>
      <c r="D856" s="103" t="s">
        <v>1695</v>
      </c>
      <c r="E856" s="103" t="s">
        <v>1696</v>
      </c>
      <c r="F856" s="103">
        <v>35.112099999999998</v>
      </c>
      <c r="G856" s="103">
        <v>43.592083350499998</v>
      </c>
      <c r="H856" s="102">
        <v>210</v>
      </c>
      <c r="I856" s="102">
        <v>1260</v>
      </c>
      <c r="J856" s="103"/>
      <c r="K856" s="103"/>
      <c r="L856" s="103"/>
      <c r="M856" s="103">
        <v>205</v>
      </c>
      <c r="N856" s="103">
        <v>5</v>
      </c>
      <c r="O856" s="103"/>
      <c r="P856" s="103"/>
      <c r="Q856" s="103"/>
      <c r="R856" s="103"/>
      <c r="S856" s="103"/>
      <c r="T856" s="103"/>
      <c r="U856" s="103"/>
      <c r="V856" s="103"/>
      <c r="W856" s="103"/>
      <c r="X856" s="103"/>
      <c r="Y856" s="103"/>
      <c r="Z856" s="103"/>
      <c r="AA856" s="103"/>
      <c r="AB856" s="103"/>
      <c r="AC856" s="103">
        <v>145</v>
      </c>
      <c r="AD856" s="103"/>
      <c r="AE856" s="103"/>
      <c r="AF856" s="103"/>
      <c r="AG856" s="103"/>
      <c r="AH856" s="103"/>
      <c r="AI856" s="103">
        <v>65</v>
      </c>
      <c r="AJ856" s="103"/>
      <c r="AK856" s="103"/>
      <c r="AL856" s="103"/>
      <c r="AM856" s="103"/>
      <c r="AN856" s="103">
        <v>20</v>
      </c>
      <c r="AO856" s="103">
        <v>20</v>
      </c>
      <c r="AP856" s="103">
        <v>50</v>
      </c>
      <c r="AQ856" s="103">
        <v>50</v>
      </c>
      <c r="AR856" s="103">
        <v>35</v>
      </c>
      <c r="AS856" s="103">
        <v>30</v>
      </c>
      <c r="AT856" s="103">
        <v>5</v>
      </c>
      <c r="AU856" s="103"/>
      <c r="AV856" s="103"/>
      <c r="AW856" s="104" t="str">
        <f>HYPERLINK("http://www.openstreetmap.org/?mlat=35.1121&amp;mlon=43.5921&amp;zoom=12#map=12/35.1121/43.5921","Maplink1")</f>
        <v>Maplink1</v>
      </c>
      <c r="AX856" s="104" t="str">
        <f>HYPERLINK("https://www.google.iq/maps/search/+35.1121,43.5921/@35.1121,43.5921,14z?hl=en","Maplink2")</f>
        <v>Maplink2</v>
      </c>
      <c r="AY856" s="104" t="str">
        <f>HYPERLINK("http://www.bing.com/maps/?lvl=14&amp;sty=h&amp;cp=35.1121~43.5921&amp;sp=point.35.1121_43.5921","Maplink3")</f>
        <v>Maplink3</v>
      </c>
    </row>
    <row r="857" spans="1:51" x14ac:dyDescent="0.2">
      <c r="A857" s="102">
        <v>15282</v>
      </c>
      <c r="B857" s="103" t="s">
        <v>34</v>
      </c>
      <c r="C857" s="103" t="s">
        <v>95</v>
      </c>
      <c r="D857" s="103" t="s">
        <v>1697</v>
      </c>
      <c r="E857" s="103" t="s">
        <v>1698</v>
      </c>
      <c r="F857" s="103">
        <v>35.33426</v>
      </c>
      <c r="G857" s="103">
        <v>43.669173020199999</v>
      </c>
      <c r="H857" s="102">
        <v>13</v>
      </c>
      <c r="I857" s="102">
        <v>78</v>
      </c>
      <c r="J857" s="103"/>
      <c r="K857" s="103"/>
      <c r="L857" s="103"/>
      <c r="M857" s="103">
        <v>13</v>
      </c>
      <c r="N857" s="103"/>
      <c r="O857" s="103"/>
      <c r="P857" s="103"/>
      <c r="Q857" s="103"/>
      <c r="R857" s="103"/>
      <c r="S857" s="103"/>
      <c r="T857" s="103"/>
      <c r="U857" s="103"/>
      <c r="V857" s="103"/>
      <c r="W857" s="103"/>
      <c r="X857" s="103"/>
      <c r="Y857" s="103"/>
      <c r="Z857" s="103"/>
      <c r="AA857" s="103"/>
      <c r="AB857" s="103"/>
      <c r="AC857" s="103">
        <v>13</v>
      </c>
      <c r="AD857" s="103"/>
      <c r="AE857" s="103"/>
      <c r="AF857" s="103"/>
      <c r="AG857" s="103"/>
      <c r="AH857" s="103"/>
      <c r="AI857" s="103"/>
      <c r="AJ857" s="103"/>
      <c r="AK857" s="103"/>
      <c r="AL857" s="103"/>
      <c r="AM857" s="103"/>
      <c r="AN857" s="103"/>
      <c r="AO857" s="103"/>
      <c r="AP857" s="103"/>
      <c r="AQ857" s="103">
        <v>6</v>
      </c>
      <c r="AR857" s="103">
        <v>2</v>
      </c>
      <c r="AS857" s="103">
        <v>5</v>
      </c>
      <c r="AT857" s="103"/>
      <c r="AU857" s="103"/>
      <c r="AV857" s="103"/>
      <c r="AW857" s="104" t="str">
        <f>HYPERLINK("http://www.openstreetmap.org/?mlat=35.3343&amp;mlon=43.6692&amp;zoom=12#map=12/35.3343/43.6692","Maplink1")</f>
        <v>Maplink1</v>
      </c>
      <c r="AX857" s="104" t="str">
        <f>HYPERLINK("https://www.google.iq/maps/search/+35.3343,43.6692/@35.3343,43.6692,14z?hl=en","Maplink2")</f>
        <v>Maplink2</v>
      </c>
      <c r="AY857" s="104" t="str">
        <f>HYPERLINK("http://www.bing.com/maps/?lvl=14&amp;sty=h&amp;cp=35.3343~43.6692&amp;sp=point.35.3343_43.6692","Maplink3")</f>
        <v>Maplink3</v>
      </c>
    </row>
    <row r="858" spans="1:51" x14ac:dyDescent="0.2">
      <c r="A858" s="102">
        <v>14836</v>
      </c>
      <c r="B858" s="103" t="s">
        <v>34</v>
      </c>
      <c r="C858" s="103" t="s">
        <v>95</v>
      </c>
      <c r="D858" s="103" t="s">
        <v>1618</v>
      </c>
      <c r="E858" s="103" t="s">
        <v>1619</v>
      </c>
      <c r="F858" s="103">
        <v>35.296879379300002</v>
      </c>
      <c r="G858" s="103">
        <v>43.844880112600002</v>
      </c>
      <c r="H858" s="102">
        <v>90</v>
      </c>
      <c r="I858" s="102">
        <v>540</v>
      </c>
      <c r="J858" s="103"/>
      <c r="K858" s="103"/>
      <c r="L858" s="103"/>
      <c r="M858" s="103">
        <v>90</v>
      </c>
      <c r="N858" s="103"/>
      <c r="O858" s="103"/>
      <c r="P858" s="103"/>
      <c r="Q858" s="103"/>
      <c r="R858" s="103"/>
      <c r="S858" s="103"/>
      <c r="T858" s="103"/>
      <c r="U858" s="103"/>
      <c r="V858" s="103"/>
      <c r="W858" s="103"/>
      <c r="X858" s="103"/>
      <c r="Y858" s="103"/>
      <c r="Z858" s="103"/>
      <c r="AA858" s="103"/>
      <c r="AB858" s="103"/>
      <c r="AC858" s="103">
        <v>85</v>
      </c>
      <c r="AD858" s="103"/>
      <c r="AE858" s="103"/>
      <c r="AF858" s="103"/>
      <c r="AG858" s="103"/>
      <c r="AH858" s="103"/>
      <c r="AI858" s="103">
        <v>5</v>
      </c>
      <c r="AJ858" s="103"/>
      <c r="AK858" s="103"/>
      <c r="AL858" s="103"/>
      <c r="AM858" s="103"/>
      <c r="AN858" s="103"/>
      <c r="AO858" s="103">
        <v>5</v>
      </c>
      <c r="AP858" s="103">
        <v>5</v>
      </c>
      <c r="AQ858" s="103">
        <v>30</v>
      </c>
      <c r="AR858" s="103">
        <v>25</v>
      </c>
      <c r="AS858" s="103">
        <v>25</v>
      </c>
      <c r="AT858" s="103"/>
      <c r="AU858" s="103"/>
      <c r="AV858" s="103"/>
      <c r="AW858" s="104" t="str">
        <f>HYPERLINK("http://www.openstreetmap.org/?mlat=35.2969&amp;mlon=43.8449&amp;zoom=12#map=12/35.2969/43.8449","Maplink1")</f>
        <v>Maplink1</v>
      </c>
      <c r="AX858" s="104" t="str">
        <f>HYPERLINK("https://www.google.iq/maps/search/+35.2969,43.8449/@35.2969,43.8449,14z?hl=en","Maplink2")</f>
        <v>Maplink2</v>
      </c>
      <c r="AY858" s="104" t="str">
        <f>HYPERLINK("http://www.bing.com/maps/?lvl=14&amp;sty=h&amp;cp=35.2969~43.8449&amp;sp=point.35.2969_43.8449","Maplink3")</f>
        <v>Maplink3</v>
      </c>
    </row>
    <row r="859" spans="1:51" x14ac:dyDescent="0.2">
      <c r="A859" s="102">
        <v>33694</v>
      </c>
      <c r="B859" s="103" t="s">
        <v>34</v>
      </c>
      <c r="C859" s="103" t="s">
        <v>95</v>
      </c>
      <c r="D859" s="103" t="s">
        <v>1620</v>
      </c>
      <c r="E859" s="103" t="s">
        <v>1621</v>
      </c>
      <c r="F859" s="103">
        <v>35.329410000000003</v>
      </c>
      <c r="G859" s="103">
        <v>44.0179618389</v>
      </c>
      <c r="H859" s="102">
        <v>23</v>
      </c>
      <c r="I859" s="102">
        <v>138</v>
      </c>
      <c r="J859" s="103"/>
      <c r="K859" s="103"/>
      <c r="L859" s="103"/>
      <c r="M859" s="103">
        <v>16</v>
      </c>
      <c r="N859" s="103">
        <v>7</v>
      </c>
      <c r="O859" s="103"/>
      <c r="P859" s="103"/>
      <c r="Q859" s="103"/>
      <c r="R859" s="103"/>
      <c r="S859" s="103"/>
      <c r="T859" s="103"/>
      <c r="U859" s="103"/>
      <c r="V859" s="103"/>
      <c r="W859" s="103"/>
      <c r="X859" s="103"/>
      <c r="Y859" s="103"/>
      <c r="Z859" s="103"/>
      <c r="AA859" s="103"/>
      <c r="AB859" s="103"/>
      <c r="AC859" s="103">
        <v>23</v>
      </c>
      <c r="AD859" s="103"/>
      <c r="AE859" s="103"/>
      <c r="AF859" s="103"/>
      <c r="AG859" s="103"/>
      <c r="AH859" s="103"/>
      <c r="AI859" s="103"/>
      <c r="AJ859" s="103"/>
      <c r="AK859" s="103"/>
      <c r="AL859" s="103"/>
      <c r="AM859" s="103"/>
      <c r="AN859" s="103"/>
      <c r="AO859" s="103"/>
      <c r="AP859" s="103">
        <v>10</v>
      </c>
      <c r="AQ859" s="103">
        <v>13</v>
      </c>
      <c r="AR859" s="103"/>
      <c r="AS859" s="103"/>
      <c r="AT859" s="103"/>
      <c r="AU859" s="103"/>
      <c r="AV859" s="103"/>
      <c r="AW859" s="104" t="str">
        <f>HYPERLINK("http://www.openstreetmap.org/?mlat=35.3294&amp;mlon=44.018&amp;zoom=12#map=12/35.3294/44.018","Maplink1")</f>
        <v>Maplink1</v>
      </c>
      <c r="AX859" s="104" t="str">
        <f>HYPERLINK("https://www.google.iq/maps/search/+35.3294,44.018/@35.3294,44.018,14z?hl=en","Maplink2")</f>
        <v>Maplink2</v>
      </c>
      <c r="AY859" s="104" t="str">
        <f>HYPERLINK("http://www.bing.com/maps/?lvl=14&amp;sty=h&amp;cp=35.3294~44.018&amp;sp=point.35.3294_44.018","Maplink3")</f>
        <v>Maplink3</v>
      </c>
    </row>
    <row r="860" spans="1:51" x14ac:dyDescent="0.2">
      <c r="A860" s="102">
        <v>33396</v>
      </c>
      <c r="B860" s="103" t="s">
        <v>34</v>
      </c>
      <c r="C860" s="103" t="s">
        <v>95</v>
      </c>
      <c r="D860" s="103" t="s">
        <v>1794</v>
      </c>
      <c r="E860" s="103" t="s">
        <v>1795</v>
      </c>
      <c r="F860" s="103">
        <v>35.318350000000002</v>
      </c>
      <c r="G860" s="103">
        <v>43.778048056800003</v>
      </c>
      <c r="H860" s="102">
        <v>95</v>
      </c>
      <c r="I860" s="102">
        <v>570</v>
      </c>
      <c r="J860" s="103"/>
      <c r="K860" s="103"/>
      <c r="L860" s="103"/>
      <c r="M860" s="103">
        <v>95</v>
      </c>
      <c r="N860" s="103"/>
      <c r="O860" s="103"/>
      <c r="P860" s="103"/>
      <c r="Q860" s="103"/>
      <c r="R860" s="103"/>
      <c r="S860" s="103"/>
      <c r="T860" s="103"/>
      <c r="U860" s="103"/>
      <c r="V860" s="103"/>
      <c r="W860" s="103"/>
      <c r="X860" s="103"/>
      <c r="Y860" s="103"/>
      <c r="Z860" s="103"/>
      <c r="AA860" s="103"/>
      <c r="AB860" s="103"/>
      <c r="AC860" s="103">
        <v>85</v>
      </c>
      <c r="AD860" s="103"/>
      <c r="AE860" s="103"/>
      <c r="AF860" s="103"/>
      <c r="AG860" s="103"/>
      <c r="AH860" s="103"/>
      <c r="AI860" s="103">
        <v>10</v>
      </c>
      <c r="AJ860" s="103"/>
      <c r="AK860" s="103"/>
      <c r="AL860" s="103"/>
      <c r="AM860" s="103"/>
      <c r="AN860" s="103">
        <v>10</v>
      </c>
      <c r="AO860" s="103">
        <v>12</v>
      </c>
      <c r="AP860" s="103">
        <v>15</v>
      </c>
      <c r="AQ860" s="103">
        <v>20</v>
      </c>
      <c r="AR860" s="103">
        <v>13</v>
      </c>
      <c r="AS860" s="103">
        <v>15</v>
      </c>
      <c r="AT860" s="103">
        <v>10</v>
      </c>
      <c r="AU860" s="103"/>
      <c r="AV860" s="103"/>
      <c r="AW860" s="104" t="str">
        <f>HYPERLINK("http://www.openstreetmap.org/?mlat=35.3184&amp;mlon=43.778&amp;zoom=12#map=12/35.3184/43.778","Maplink1")</f>
        <v>Maplink1</v>
      </c>
      <c r="AX860" s="104" t="str">
        <f>HYPERLINK("https://www.google.iq/maps/search/+35.3184,43.778/@35.3184,43.778,14z?hl=en","Maplink2")</f>
        <v>Maplink2</v>
      </c>
      <c r="AY860" s="104" t="str">
        <f>HYPERLINK("http://www.bing.com/maps/?lvl=14&amp;sty=h&amp;cp=35.3184~43.778&amp;sp=point.35.3184_43.778","Maplink3")</f>
        <v>Maplink3</v>
      </c>
    </row>
    <row r="861" spans="1:51" x14ac:dyDescent="0.2">
      <c r="A861" s="102">
        <v>14889</v>
      </c>
      <c r="B861" s="103" t="s">
        <v>34</v>
      </c>
      <c r="C861" s="103" t="s">
        <v>95</v>
      </c>
      <c r="D861" s="103" t="s">
        <v>1765</v>
      </c>
      <c r="E861" s="103" t="s">
        <v>1766</v>
      </c>
      <c r="F861" s="103">
        <v>35.3523</v>
      </c>
      <c r="G861" s="103">
        <v>43.634750159500001</v>
      </c>
      <c r="H861" s="102">
        <v>231</v>
      </c>
      <c r="I861" s="102">
        <v>1386</v>
      </c>
      <c r="J861" s="103"/>
      <c r="K861" s="103"/>
      <c r="L861" s="103"/>
      <c r="M861" s="103">
        <v>231</v>
      </c>
      <c r="N861" s="103"/>
      <c r="O861" s="103"/>
      <c r="P861" s="103"/>
      <c r="Q861" s="103"/>
      <c r="R861" s="103"/>
      <c r="S861" s="103"/>
      <c r="T861" s="103"/>
      <c r="U861" s="103"/>
      <c r="V861" s="103"/>
      <c r="W861" s="103"/>
      <c r="X861" s="103"/>
      <c r="Y861" s="103"/>
      <c r="Z861" s="103"/>
      <c r="AA861" s="103"/>
      <c r="AB861" s="103"/>
      <c r="AC861" s="103">
        <v>231</v>
      </c>
      <c r="AD861" s="103"/>
      <c r="AE861" s="103"/>
      <c r="AF861" s="103"/>
      <c r="AG861" s="103"/>
      <c r="AH861" s="103"/>
      <c r="AI861" s="103"/>
      <c r="AJ861" s="103"/>
      <c r="AK861" s="103"/>
      <c r="AL861" s="103"/>
      <c r="AM861" s="103"/>
      <c r="AN861" s="103"/>
      <c r="AO861" s="103"/>
      <c r="AP861" s="103"/>
      <c r="AQ861" s="103">
        <v>25</v>
      </c>
      <c r="AR861" s="103">
        <v>51</v>
      </c>
      <c r="AS861" s="103">
        <v>60</v>
      </c>
      <c r="AT861" s="103">
        <v>95</v>
      </c>
      <c r="AU861" s="103"/>
      <c r="AV861" s="103"/>
      <c r="AW861" s="104" t="str">
        <f>HYPERLINK("http://www.openstreetmap.org/?mlat=35.3523&amp;mlon=43.6348&amp;zoom=12#map=12/35.3523/43.6348","Maplink1")</f>
        <v>Maplink1</v>
      </c>
      <c r="AX861" s="104" t="str">
        <f>HYPERLINK("https://www.google.iq/maps/search/+35.3523,43.6348/@35.3523,43.6348,14z?hl=en","Maplink2")</f>
        <v>Maplink2</v>
      </c>
      <c r="AY861" s="104" t="str">
        <f>HYPERLINK("http://www.bing.com/maps/?lvl=14&amp;sty=h&amp;cp=35.3523~43.6348&amp;sp=point.35.3523_43.6348","Maplink3")</f>
        <v>Maplink3</v>
      </c>
    </row>
    <row r="862" spans="1:51" x14ac:dyDescent="0.2">
      <c r="A862" s="102">
        <v>14718</v>
      </c>
      <c r="B862" s="103" t="s">
        <v>34</v>
      </c>
      <c r="C862" s="103" t="s">
        <v>95</v>
      </c>
      <c r="D862" s="103" t="s">
        <v>1767</v>
      </c>
      <c r="E862" s="103" t="s">
        <v>1768</v>
      </c>
      <c r="F862" s="103">
        <v>35.33</v>
      </c>
      <c r="G862" s="103">
        <v>43.567808995900002</v>
      </c>
      <c r="H862" s="102">
        <v>305</v>
      </c>
      <c r="I862" s="102">
        <v>1830</v>
      </c>
      <c r="J862" s="103"/>
      <c r="K862" s="103"/>
      <c r="L862" s="103"/>
      <c r="M862" s="103">
        <v>295</v>
      </c>
      <c r="N862" s="103">
        <v>10</v>
      </c>
      <c r="O862" s="103"/>
      <c r="P862" s="103"/>
      <c r="Q862" s="103"/>
      <c r="R862" s="103"/>
      <c r="S862" s="103"/>
      <c r="T862" s="103"/>
      <c r="U862" s="103"/>
      <c r="V862" s="103"/>
      <c r="W862" s="103"/>
      <c r="X862" s="103"/>
      <c r="Y862" s="103"/>
      <c r="Z862" s="103"/>
      <c r="AA862" s="103"/>
      <c r="AB862" s="103"/>
      <c r="AC862" s="103">
        <v>220</v>
      </c>
      <c r="AD862" s="103"/>
      <c r="AE862" s="103"/>
      <c r="AF862" s="103"/>
      <c r="AG862" s="103"/>
      <c r="AH862" s="103"/>
      <c r="AI862" s="103">
        <v>85</v>
      </c>
      <c r="AJ862" s="103"/>
      <c r="AK862" s="103"/>
      <c r="AL862" s="103"/>
      <c r="AM862" s="103"/>
      <c r="AN862" s="103">
        <v>10</v>
      </c>
      <c r="AO862" s="103">
        <v>25</v>
      </c>
      <c r="AP862" s="103">
        <v>30</v>
      </c>
      <c r="AQ862" s="103">
        <v>60</v>
      </c>
      <c r="AR862" s="103">
        <v>80</v>
      </c>
      <c r="AS862" s="103">
        <v>50</v>
      </c>
      <c r="AT862" s="103">
        <v>50</v>
      </c>
      <c r="AU862" s="103"/>
      <c r="AV862" s="103"/>
      <c r="AW862" s="104" t="str">
        <f>HYPERLINK("http://www.openstreetmap.org/?mlat=35.33&amp;mlon=43.5678&amp;zoom=12#map=12/35.33/43.5678","Maplink1")</f>
        <v>Maplink1</v>
      </c>
      <c r="AX862" s="104" t="str">
        <f>HYPERLINK("https://www.google.iq/maps/search/+35.33,43.5678/@35.33,43.5678,14z?hl=en","Maplink2")</f>
        <v>Maplink2</v>
      </c>
      <c r="AY862" s="104" t="str">
        <f>HYPERLINK("http://www.bing.com/maps/?lvl=14&amp;sty=h&amp;cp=35.33~43.5678&amp;sp=point.35.33_43.5678","Maplink3")</f>
        <v>Maplink3</v>
      </c>
    </row>
    <row r="863" spans="1:51" x14ac:dyDescent="0.2">
      <c r="A863" s="102">
        <v>15324</v>
      </c>
      <c r="B863" s="103" t="s">
        <v>34</v>
      </c>
      <c r="C863" s="103" t="s">
        <v>95</v>
      </c>
      <c r="D863" s="103" t="s">
        <v>1769</v>
      </c>
      <c r="E863" s="103" t="s">
        <v>1770</v>
      </c>
      <c r="F863" s="103">
        <v>35.37388</v>
      </c>
      <c r="G863" s="103">
        <v>43.778026550600003</v>
      </c>
      <c r="H863" s="102">
        <v>97</v>
      </c>
      <c r="I863" s="102">
        <v>582</v>
      </c>
      <c r="J863" s="103"/>
      <c r="K863" s="103"/>
      <c r="L863" s="103"/>
      <c r="M863" s="103">
        <v>97</v>
      </c>
      <c r="N863" s="103"/>
      <c r="O863" s="103"/>
      <c r="P863" s="103"/>
      <c r="Q863" s="103"/>
      <c r="R863" s="103"/>
      <c r="S863" s="103"/>
      <c r="T863" s="103"/>
      <c r="U863" s="103"/>
      <c r="V863" s="103"/>
      <c r="W863" s="103"/>
      <c r="X863" s="103"/>
      <c r="Y863" s="103"/>
      <c r="Z863" s="103"/>
      <c r="AA863" s="103"/>
      <c r="AB863" s="103"/>
      <c r="AC863" s="103">
        <v>55</v>
      </c>
      <c r="AD863" s="103"/>
      <c r="AE863" s="103"/>
      <c r="AF863" s="103"/>
      <c r="AG863" s="103"/>
      <c r="AH863" s="103"/>
      <c r="AI863" s="103">
        <v>42</v>
      </c>
      <c r="AJ863" s="103"/>
      <c r="AK863" s="103"/>
      <c r="AL863" s="103"/>
      <c r="AM863" s="103"/>
      <c r="AN863" s="103"/>
      <c r="AO863" s="103">
        <v>5</v>
      </c>
      <c r="AP863" s="103">
        <v>32</v>
      </c>
      <c r="AQ863" s="103">
        <v>5</v>
      </c>
      <c r="AR863" s="103">
        <v>35</v>
      </c>
      <c r="AS863" s="103">
        <v>15</v>
      </c>
      <c r="AT863" s="103">
        <v>5</v>
      </c>
      <c r="AU863" s="103"/>
      <c r="AV863" s="103"/>
      <c r="AW863" s="104" t="str">
        <f>HYPERLINK("http://www.openstreetmap.org/?mlat=35.3739&amp;mlon=43.778&amp;zoom=12#map=12/35.3739/43.778","Maplink1")</f>
        <v>Maplink1</v>
      </c>
      <c r="AX863" s="104" t="str">
        <f>HYPERLINK("https://www.google.iq/maps/search/+35.3739,43.778/@35.3739,43.778,14z?hl=en","Maplink2")</f>
        <v>Maplink2</v>
      </c>
      <c r="AY863" s="104" t="str">
        <f>HYPERLINK("http://www.bing.com/maps/?lvl=14&amp;sty=h&amp;cp=35.3739~43.778&amp;sp=point.35.3739_43.778","Maplink3")</f>
        <v>Maplink3</v>
      </c>
    </row>
    <row r="864" spans="1:51" x14ac:dyDescent="0.2">
      <c r="A864" s="102">
        <v>14935</v>
      </c>
      <c r="B864" s="103" t="s">
        <v>34</v>
      </c>
      <c r="C864" s="103" t="s">
        <v>95</v>
      </c>
      <c r="D864" s="103" t="s">
        <v>1771</v>
      </c>
      <c r="E864" s="103" t="s">
        <v>1772</v>
      </c>
      <c r="F864" s="103">
        <v>35.368056000000003</v>
      </c>
      <c r="G864" s="103">
        <v>43.829061594000002</v>
      </c>
      <c r="H864" s="102">
        <v>72</v>
      </c>
      <c r="I864" s="102">
        <v>432</v>
      </c>
      <c r="J864" s="103"/>
      <c r="K864" s="103"/>
      <c r="L864" s="103"/>
      <c r="M864" s="103">
        <v>67</v>
      </c>
      <c r="N864" s="103">
        <v>5</v>
      </c>
      <c r="O864" s="103"/>
      <c r="P864" s="103"/>
      <c r="Q864" s="103"/>
      <c r="R864" s="103"/>
      <c r="S864" s="103"/>
      <c r="T864" s="103"/>
      <c r="U864" s="103"/>
      <c r="V864" s="103"/>
      <c r="W864" s="103"/>
      <c r="X864" s="103"/>
      <c r="Y864" s="103"/>
      <c r="Z864" s="103"/>
      <c r="AA864" s="103"/>
      <c r="AB864" s="103"/>
      <c r="AC864" s="103">
        <v>55</v>
      </c>
      <c r="AD864" s="103"/>
      <c r="AE864" s="103"/>
      <c r="AF864" s="103"/>
      <c r="AG864" s="103"/>
      <c r="AH864" s="103"/>
      <c r="AI864" s="103">
        <v>17</v>
      </c>
      <c r="AJ864" s="103"/>
      <c r="AK864" s="103"/>
      <c r="AL864" s="103"/>
      <c r="AM864" s="103"/>
      <c r="AN864" s="103">
        <v>5</v>
      </c>
      <c r="AO864" s="103">
        <v>5</v>
      </c>
      <c r="AP864" s="103">
        <v>5</v>
      </c>
      <c r="AQ864" s="103">
        <v>20</v>
      </c>
      <c r="AR864" s="103">
        <v>17</v>
      </c>
      <c r="AS864" s="103">
        <v>10</v>
      </c>
      <c r="AT864" s="103">
        <v>10</v>
      </c>
      <c r="AU864" s="103"/>
      <c r="AV864" s="103"/>
      <c r="AW864" s="104" t="str">
        <f>HYPERLINK("http://www.openstreetmap.org/?mlat=35.3681&amp;mlon=43.8291&amp;zoom=12#map=12/35.3681/43.8291","Maplink1")</f>
        <v>Maplink1</v>
      </c>
      <c r="AX864" s="104" t="str">
        <f>HYPERLINK("https://www.google.iq/maps/search/+35.3681,43.8291/@35.3681,43.8291,14z?hl=en","Maplink2")</f>
        <v>Maplink2</v>
      </c>
      <c r="AY864" s="104" t="str">
        <f>HYPERLINK("http://www.bing.com/maps/?lvl=14&amp;sty=h&amp;cp=35.3681~43.8291&amp;sp=point.35.3681_43.8291","Maplink3")</f>
        <v>Maplink3</v>
      </c>
    </row>
    <row r="865" spans="1:51" x14ac:dyDescent="0.2">
      <c r="A865" s="102">
        <v>15281</v>
      </c>
      <c r="B865" s="103" t="s">
        <v>34</v>
      </c>
      <c r="C865" s="103" t="s">
        <v>95</v>
      </c>
      <c r="D865" s="103" t="s">
        <v>1699</v>
      </c>
      <c r="E865" s="103" t="s">
        <v>1700</v>
      </c>
      <c r="F865" s="103">
        <v>35.332999999999998</v>
      </c>
      <c r="G865" s="103">
        <v>43.652429322300002</v>
      </c>
      <c r="H865" s="102">
        <v>91</v>
      </c>
      <c r="I865" s="102">
        <v>546</v>
      </c>
      <c r="J865" s="103"/>
      <c r="K865" s="103"/>
      <c r="L865" s="103"/>
      <c r="M865" s="103">
        <v>87</v>
      </c>
      <c r="N865" s="103">
        <v>4</v>
      </c>
      <c r="O865" s="103"/>
      <c r="P865" s="103"/>
      <c r="Q865" s="103"/>
      <c r="R865" s="103"/>
      <c r="S865" s="103"/>
      <c r="T865" s="103"/>
      <c r="U865" s="103"/>
      <c r="V865" s="103"/>
      <c r="W865" s="103">
        <v>1</v>
      </c>
      <c r="X865" s="103"/>
      <c r="Y865" s="103"/>
      <c r="Z865" s="103"/>
      <c r="AA865" s="103"/>
      <c r="AB865" s="103"/>
      <c r="AC865" s="103">
        <v>82</v>
      </c>
      <c r="AD865" s="103"/>
      <c r="AE865" s="103"/>
      <c r="AF865" s="103"/>
      <c r="AG865" s="103"/>
      <c r="AH865" s="103"/>
      <c r="AI865" s="103">
        <v>8</v>
      </c>
      <c r="AJ865" s="103"/>
      <c r="AK865" s="103"/>
      <c r="AL865" s="103"/>
      <c r="AM865" s="103"/>
      <c r="AN865" s="103"/>
      <c r="AO865" s="103"/>
      <c r="AP865" s="103">
        <v>5</v>
      </c>
      <c r="AQ865" s="103">
        <v>8</v>
      </c>
      <c r="AR865" s="103">
        <v>36</v>
      </c>
      <c r="AS865" s="103">
        <v>40</v>
      </c>
      <c r="AT865" s="103">
        <v>2</v>
      </c>
      <c r="AU865" s="103"/>
      <c r="AV865" s="103"/>
      <c r="AW865" s="104" t="str">
        <f>HYPERLINK("http://www.openstreetmap.org/?mlat=35.333&amp;mlon=43.6524&amp;zoom=12#map=12/35.333/43.6524","Maplink1")</f>
        <v>Maplink1</v>
      </c>
      <c r="AX865" s="104" t="str">
        <f>HYPERLINK("https://www.google.iq/maps/search/+35.333,43.6524/@35.333,43.6524,14z?hl=en","Maplink2")</f>
        <v>Maplink2</v>
      </c>
      <c r="AY865" s="104" t="str">
        <f>HYPERLINK("http://www.bing.com/maps/?lvl=14&amp;sty=h&amp;cp=35.333~43.6524&amp;sp=point.35.333_43.6524","Maplink3")</f>
        <v>Maplink3</v>
      </c>
    </row>
    <row r="866" spans="1:51" x14ac:dyDescent="0.2">
      <c r="A866" s="102">
        <v>14981</v>
      </c>
      <c r="B866" s="103" t="s">
        <v>34</v>
      </c>
      <c r="C866" s="103" t="s">
        <v>95</v>
      </c>
      <c r="D866" s="103" t="s">
        <v>1701</v>
      </c>
      <c r="E866" s="103" t="s">
        <v>1702</v>
      </c>
      <c r="F866" s="103">
        <v>35.403379999999999</v>
      </c>
      <c r="G866" s="103">
        <v>43.849141875299999</v>
      </c>
      <c r="H866" s="102">
        <v>316</v>
      </c>
      <c r="I866" s="102">
        <v>1896</v>
      </c>
      <c r="J866" s="103"/>
      <c r="K866" s="103"/>
      <c r="L866" s="103"/>
      <c r="M866" s="103">
        <v>316</v>
      </c>
      <c r="N866" s="103"/>
      <c r="O866" s="103"/>
      <c r="P866" s="103"/>
      <c r="Q866" s="103"/>
      <c r="R866" s="103"/>
      <c r="S866" s="103"/>
      <c r="T866" s="103"/>
      <c r="U866" s="103"/>
      <c r="V866" s="103"/>
      <c r="W866" s="103"/>
      <c r="X866" s="103"/>
      <c r="Y866" s="103"/>
      <c r="Z866" s="103"/>
      <c r="AA866" s="103"/>
      <c r="AB866" s="103"/>
      <c r="AC866" s="103">
        <v>226</v>
      </c>
      <c r="AD866" s="103"/>
      <c r="AE866" s="103"/>
      <c r="AF866" s="103"/>
      <c r="AG866" s="103"/>
      <c r="AH866" s="103"/>
      <c r="AI866" s="103">
        <v>90</v>
      </c>
      <c r="AJ866" s="103"/>
      <c r="AK866" s="103"/>
      <c r="AL866" s="103"/>
      <c r="AM866" s="103"/>
      <c r="AN866" s="103">
        <v>20</v>
      </c>
      <c r="AO866" s="103">
        <v>25</v>
      </c>
      <c r="AP866" s="103">
        <v>30</v>
      </c>
      <c r="AQ866" s="103">
        <v>70</v>
      </c>
      <c r="AR866" s="103">
        <v>96</v>
      </c>
      <c r="AS866" s="103">
        <v>30</v>
      </c>
      <c r="AT866" s="103">
        <v>45</v>
      </c>
      <c r="AU866" s="103"/>
      <c r="AV866" s="103"/>
      <c r="AW866" s="104" t="str">
        <f>HYPERLINK("http://www.openstreetmap.org/?mlat=35.4034&amp;mlon=43.8491&amp;zoom=12#map=12/35.4034/43.8491","Maplink1")</f>
        <v>Maplink1</v>
      </c>
      <c r="AX866" s="104" t="str">
        <f>HYPERLINK("https://www.google.iq/maps/search/+35.4034,43.8491/@35.4034,43.8491,14z?hl=en","Maplink2")</f>
        <v>Maplink2</v>
      </c>
      <c r="AY866" s="104" t="str">
        <f>HYPERLINK("http://www.bing.com/maps/?lvl=14&amp;sty=h&amp;cp=35.4034~43.8491&amp;sp=point.35.4034_43.8491","Maplink3")</f>
        <v>Maplink3</v>
      </c>
    </row>
    <row r="867" spans="1:51" x14ac:dyDescent="0.2">
      <c r="A867" s="102">
        <v>33398</v>
      </c>
      <c r="B867" s="103" t="s">
        <v>34</v>
      </c>
      <c r="C867" s="103" t="s">
        <v>95</v>
      </c>
      <c r="D867" s="103" t="s">
        <v>1703</v>
      </c>
      <c r="E867" s="103" t="s">
        <v>1704</v>
      </c>
      <c r="F867" s="103">
        <v>35.33193</v>
      </c>
      <c r="G867" s="103">
        <v>43.799005342900003</v>
      </c>
      <c r="H867" s="102">
        <v>24</v>
      </c>
      <c r="I867" s="102">
        <v>144</v>
      </c>
      <c r="J867" s="103"/>
      <c r="K867" s="103"/>
      <c r="L867" s="103"/>
      <c r="M867" s="103">
        <v>24</v>
      </c>
      <c r="N867" s="103"/>
      <c r="O867" s="103"/>
      <c r="P867" s="103"/>
      <c r="Q867" s="103"/>
      <c r="R867" s="103"/>
      <c r="S867" s="103"/>
      <c r="T867" s="103"/>
      <c r="U867" s="103"/>
      <c r="V867" s="103"/>
      <c r="W867" s="103"/>
      <c r="X867" s="103"/>
      <c r="Y867" s="103"/>
      <c r="Z867" s="103"/>
      <c r="AA867" s="103"/>
      <c r="AB867" s="103"/>
      <c r="AC867" s="103">
        <v>24</v>
      </c>
      <c r="AD867" s="103"/>
      <c r="AE867" s="103"/>
      <c r="AF867" s="103"/>
      <c r="AG867" s="103"/>
      <c r="AH867" s="103"/>
      <c r="AI867" s="103"/>
      <c r="AJ867" s="103"/>
      <c r="AK867" s="103"/>
      <c r="AL867" s="103"/>
      <c r="AM867" s="103"/>
      <c r="AN867" s="103"/>
      <c r="AO867" s="103"/>
      <c r="AP867" s="103">
        <v>3</v>
      </c>
      <c r="AQ867" s="103">
        <v>6</v>
      </c>
      <c r="AR867" s="103">
        <v>5</v>
      </c>
      <c r="AS867" s="103">
        <v>5</v>
      </c>
      <c r="AT867" s="103">
        <v>5</v>
      </c>
      <c r="AU867" s="103"/>
      <c r="AV867" s="103"/>
      <c r="AW867" s="104" t="str">
        <f>HYPERLINK("http://www.openstreetmap.org/?mlat=35.3319&amp;mlon=43.799&amp;zoom=12#map=12/35.3319/43.799","Maplink1")</f>
        <v>Maplink1</v>
      </c>
      <c r="AX867" s="104" t="str">
        <f>HYPERLINK("https://www.google.iq/maps/search/+35.3319,43.799/@35.3319,43.799,14z?hl=en","Maplink2")</f>
        <v>Maplink2</v>
      </c>
      <c r="AY867" s="104" t="str">
        <f>HYPERLINK("http://www.bing.com/maps/?lvl=14&amp;sty=h&amp;cp=35.3319~43.799&amp;sp=point.35.3319_43.799","Maplink3")</f>
        <v>Maplink3</v>
      </c>
    </row>
    <row r="868" spans="1:51" x14ac:dyDescent="0.2">
      <c r="A868" s="102">
        <v>15674</v>
      </c>
      <c r="B868" s="103" t="s">
        <v>34</v>
      </c>
      <c r="C868" s="103" t="s">
        <v>96</v>
      </c>
      <c r="D868" s="103" t="s">
        <v>1814</v>
      </c>
      <c r="E868" s="103" t="s">
        <v>157</v>
      </c>
      <c r="F868" s="103">
        <v>35.6705348992</v>
      </c>
      <c r="G868" s="103">
        <v>44.069217917000003</v>
      </c>
      <c r="H868" s="102">
        <v>15</v>
      </c>
      <c r="I868" s="102">
        <v>90</v>
      </c>
      <c r="J868" s="103"/>
      <c r="K868" s="103"/>
      <c r="L868" s="103"/>
      <c r="M868" s="103">
        <v>15</v>
      </c>
      <c r="N868" s="103"/>
      <c r="O868" s="103"/>
      <c r="P868" s="103"/>
      <c r="Q868" s="103"/>
      <c r="R868" s="103"/>
      <c r="S868" s="103"/>
      <c r="T868" s="103"/>
      <c r="U868" s="103"/>
      <c r="V868" s="103"/>
      <c r="W868" s="103"/>
      <c r="X868" s="103"/>
      <c r="Y868" s="103"/>
      <c r="Z868" s="103"/>
      <c r="AA868" s="103">
        <v>15</v>
      </c>
      <c r="AB868" s="103"/>
      <c r="AC868" s="103"/>
      <c r="AD868" s="103"/>
      <c r="AE868" s="103"/>
      <c r="AF868" s="103"/>
      <c r="AG868" s="103"/>
      <c r="AH868" s="103"/>
      <c r="AI868" s="103"/>
      <c r="AJ868" s="103"/>
      <c r="AK868" s="103"/>
      <c r="AL868" s="103"/>
      <c r="AM868" s="103"/>
      <c r="AN868" s="103"/>
      <c r="AO868" s="103"/>
      <c r="AP868" s="103"/>
      <c r="AQ868" s="103"/>
      <c r="AR868" s="103"/>
      <c r="AS868" s="103"/>
      <c r="AT868" s="103">
        <v>15</v>
      </c>
      <c r="AU868" s="103"/>
      <c r="AV868" s="103"/>
      <c r="AW868" s="104" t="str">
        <f>HYPERLINK("http://www.openstreetmap.org/?mlat=35.6705&amp;mlon=44.0692&amp;zoom=12#map=12/35.6705/44.0692","Maplink1")</f>
        <v>Maplink1</v>
      </c>
      <c r="AX868" s="104" t="str">
        <f>HYPERLINK("https://www.google.iq/maps/search/+35.6705,44.0692/@35.6705,44.0692,14z?hl=en","Maplink2")</f>
        <v>Maplink2</v>
      </c>
      <c r="AY868" s="104" t="str">
        <f>HYPERLINK("http://www.bing.com/maps/?lvl=14&amp;sty=h&amp;cp=35.6705~44.0692&amp;sp=point.35.6705_44.0692","Maplink3")</f>
        <v>Maplink3</v>
      </c>
    </row>
    <row r="869" spans="1:51" x14ac:dyDescent="0.2">
      <c r="A869" s="102">
        <v>14375</v>
      </c>
      <c r="B869" s="103" t="s">
        <v>34</v>
      </c>
      <c r="C869" s="103" t="s">
        <v>96</v>
      </c>
      <c r="D869" s="103" t="s">
        <v>1817</v>
      </c>
      <c r="E869" s="103" t="s">
        <v>1818</v>
      </c>
      <c r="F869" s="103">
        <v>35.756266250400003</v>
      </c>
      <c r="G869" s="103">
        <v>44.138713172300001</v>
      </c>
      <c r="H869" s="102">
        <v>866</v>
      </c>
      <c r="I869" s="102">
        <v>5196</v>
      </c>
      <c r="J869" s="103"/>
      <c r="K869" s="103"/>
      <c r="L869" s="103"/>
      <c r="M869" s="103">
        <v>866</v>
      </c>
      <c r="N869" s="103"/>
      <c r="O869" s="103"/>
      <c r="P869" s="103"/>
      <c r="Q869" s="103"/>
      <c r="R869" s="103"/>
      <c r="S869" s="103"/>
      <c r="T869" s="103"/>
      <c r="U869" s="103"/>
      <c r="V869" s="103"/>
      <c r="W869" s="103"/>
      <c r="X869" s="103"/>
      <c r="Y869" s="103"/>
      <c r="Z869" s="103"/>
      <c r="AA869" s="103"/>
      <c r="AB869" s="103"/>
      <c r="AC869" s="103">
        <v>866</v>
      </c>
      <c r="AD869" s="103"/>
      <c r="AE869" s="103"/>
      <c r="AF869" s="103"/>
      <c r="AG869" s="103"/>
      <c r="AH869" s="103"/>
      <c r="AI869" s="103"/>
      <c r="AJ869" s="103"/>
      <c r="AK869" s="103"/>
      <c r="AL869" s="103"/>
      <c r="AM869" s="103"/>
      <c r="AN869" s="103"/>
      <c r="AO869" s="103"/>
      <c r="AP869" s="103"/>
      <c r="AQ869" s="103"/>
      <c r="AR869" s="103"/>
      <c r="AS869" s="103"/>
      <c r="AT869" s="103">
        <v>866</v>
      </c>
      <c r="AU869" s="103"/>
      <c r="AV869" s="103"/>
      <c r="AW869" s="104" t="str">
        <f>HYPERLINK("http://www.openstreetmap.org/?mlat=35.7563&amp;mlon=44.1387&amp;zoom=12#map=12/35.7563/44.1387","Maplink1")</f>
        <v>Maplink1</v>
      </c>
      <c r="AX869" s="104" t="str">
        <f>HYPERLINK("https://www.google.iq/maps/search/+35.7563,44.1387/@35.7563,44.1387,14z?hl=en","Maplink2")</f>
        <v>Maplink2</v>
      </c>
      <c r="AY869" s="104" t="str">
        <f>HYPERLINK("http://www.bing.com/maps/?lvl=14&amp;sty=h&amp;cp=35.7563~44.1387&amp;sp=point.35.7563_44.1387","Maplink3")</f>
        <v>Maplink3</v>
      </c>
    </row>
    <row r="870" spans="1:51" x14ac:dyDescent="0.2">
      <c r="A870" s="102">
        <v>33384</v>
      </c>
      <c r="B870" s="103" t="s">
        <v>34</v>
      </c>
      <c r="C870" s="103" t="s">
        <v>96</v>
      </c>
      <c r="D870" s="103" t="s">
        <v>1819</v>
      </c>
      <c r="E870" s="103" t="s">
        <v>1820</v>
      </c>
      <c r="F870" s="103">
        <v>35.668289999999999</v>
      </c>
      <c r="G870" s="103">
        <v>44.083886615399997</v>
      </c>
      <c r="H870" s="102">
        <v>25</v>
      </c>
      <c r="I870" s="102">
        <v>150</v>
      </c>
      <c r="J870" s="103"/>
      <c r="K870" s="103"/>
      <c r="L870" s="103"/>
      <c r="M870" s="103">
        <v>25</v>
      </c>
      <c r="N870" s="103"/>
      <c r="O870" s="103"/>
      <c r="P870" s="103"/>
      <c r="Q870" s="103"/>
      <c r="R870" s="103"/>
      <c r="S870" s="103"/>
      <c r="T870" s="103"/>
      <c r="U870" s="103"/>
      <c r="V870" s="103"/>
      <c r="W870" s="103"/>
      <c r="X870" s="103"/>
      <c r="Y870" s="103"/>
      <c r="Z870" s="103"/>
      <c r="AA870" s="103">
        <v>25</v>
      </c>
      <c r="AB870" s="103"/>
      <c r="AC870" s="103"/>
      <c r="AD870" s="103"/>
      <c r="AE870" s="103"/>
      <c r="AF870" s="103"/>
      <c r="AG870" s="103"/>
      <c r="AH870" s="103"/>
      <c r="AI870" s="103"/>
      <c r="AJ870" s="103"/>
      <c r="AK870" s="103"/>
      <c r="AL870" s="103"/>
      <c r="AM870" s="103"/>
      <c r="AN870" s="103"/>
      <c r="AO870" s="103"/>
      <c r="AP870" s="103"/>
      <c r="AQ870" s="103"/>
      <c r="AR870" s="103"/>
      <c r="AS870" s="103"/>
      <c r="AT870" s="103">
        <v>25</v>
      </c>
      <c r="AU870" s="103"/>
      <c r="AV870" s="103"/>
      <c r="AW870" s="104" t="str">
        <f>HYPERLINK("http://www.openstreetmap.org/?mlat=35.6683&amp;mlon=44.0839&amp;zoom=12#map=12/35.6683/44.0839","Maplink1")</f>
        <v>Maplink1</v>
      </c>
      <c r="AX870" s="104" t="str">
        <f>HYPERLINK("https://www.google.iq/maps/search/+35.6683,44.0839/@35.6683,44.0839,14z?hl=en","Maplink2")</f>
        <v>Maplink2</v>
      </c>
      <c r="AY870" s="104" t="str">
        <f>HYPERLINK("http://www.bing.com/maps/?lvl=14&amp;sty=h&amp;cp=35.6683~44.0839&amp;sp=point.35.6683_44.0839","Maplink3")</f>
        <v>Maplink3</v>
      </c>
    </row>
    <row r="871" spans="1:51" x14ac:dyDescent="0.2">
      <c r="A871" s="102">
        <v>15463</v>
      </c>
      <c r="B871" s="103" t="s">
        <v>34</v>
      </c>
      <c r="C871" s="103" t="s">
        <v>96</v>
      </c>
      <c r="D871" s="103" t="s">
        <v>1810</v>
      </c>
      <c r="E871" s="103" t="s">
        <v>1811</v>
      </c>
      <c r="F871" s="103">
        <v>35.603760000000001</v>
      </c>
      <c r="G871" s="103">
        <v>44.230550276999999</v>
      </c>
      <c r="H871" s="102">
        <v>80</v>
      </c>
      <c r="I871" s="102">
        <v>480</v>
      </c>
      <c r="J871" s="103"/>
      <c r="K871" s="103"/>
      <c r="L871" s="103">
        <v>5</v>
      </c>
      <c r="M871" s="103">
        <v>65</v>
      </c>
      <c r="N871" s="103">
        <v>10</v>
      </c>
      <c r="O871" s="103"/>
      <c r="P871" s="103"/>
      <c r="Q871" s="103"/>
      <c r="R871" s="103"/>
      <c r="S871" s="103"/>
      <c r="T871" s="103"/>
      <c r="U871" s="103"/>
      <c r="V871" s="103"/>
      <c r="W871" s="103"/>
      <c r="X871" s="103"/>
      <c r="Y871" s="103"/>
      <c r="Z871" s="103"/>
      <c r="AA871" s="103"/>
      <c r="AB871" s="103"/>
      <c r="AC871" s="103">
        <v>80</v>
      </c>
      <c r="AD871" s="103"/>
      <c r="AE871" s="103"/>
      <c r="AF871" s="103"/>
      <c r="AG871" s="103"/>
      <c r="AH871" s="103"/>
      <c r="AI871" s="103"/>
      <c r="AJ871" s="103"/>
      <c r="AK871" s="103"/>
      <c r="AL871" s="103"/>
      <c r="AM871" s="103"/>
      <c r="AN871" s="103"/>
      <c r="AO871" s="103"/>
      <c r="AP871" s="103"/>
      <c r="AQ871" s="103"/>
      <c r="AR871" s="103">
        <v>80</v>
      </c>
      <c r="AS871" s="103"/>
      <c r="AT871" s="103"/>
      <c r="AU871" s="103"/>
      <c r="AV871" s="103"/>
      <c r="AW871" s="104" t="str">
        <f>HYPERLINK("http://www.openstreetmap.org/?mlat=35.6038&amp;mlon=44.2306&amp;zoom=12#map=12/35.6038/44.2306","Maplink1")</f>
        <v>Maplink1</v>
      </c>
      <c r="AX871" s="104" t="str">
        <f>HYPERLINK("https://www.google.iq/maps/search/+35.6038,44.2306/@35.6038,44.2306,14z?hl=en","Maplink2")</f>
        <v>Maplink2</v>
      </c>
      <c r="AY871" s="104" t="str">
        <f>HYPERLINK("http://www.bing.com/maps/?lvl=14&amp;sty=h&amp;cp=35.6038~44.2306&amp;sp=point.35.6038_44.2306","Maplink3")</f>
        <v>Maplink3</v>
      </c>
    </row>
    <row r="872" spans="1:51" x14ac:dyDescent="0.2">
      <c r="A872" s="102">
        <v>33382</v>
      </c>
      <c r="B872" s="103" t="s">
        <v>34</v>
      </c>
      <c r="C872" s="103" t="s">
        <v>96</v>
      </c>
      <c r="D872" s="103" t="s">
        <v>1812</v>
      </c>
      <c r="E872" s="103" t="s">
        <v>1813</v>
      </c>
      <c r="F872" s="103">
        <v>35.674570000000003</v>
      </c>
      <c r="G872" s="103">
        <v>44.072880852499999</v>
      </c>
      <c r="H872" s="102">
        <v>30</v>
      </c>
      <c r="I872" s="102">
        <v>180</v>
      </c>
      <c r="J872" s="103"/>
      <c r="K872" s="103"/>
      <c r="L872" s="103"/>
      <c r="M872" s="103">
        <v>30</v>
      </c>
      <c r="N872" s="103"/>
      <c r="O872" s="103"/>
      <c r="P872" s="103"/>
      <c r="Q872" s="103"/>
      <c r="R872" s="103"/>
      <c r="S872" s="103"/>
      <c r="T872" s="103"/>
      <c r="U872" s="103"/>
      <c r="V872" s="103"/>
      <c r="W872" s="103"/>
      <c r="X872" s="103"/>
      <c r="Y872" s="103"/>
      <c r="Z872" s="103"/>
      <c r="AA872" s="103">
        <v>30</v>
      </c>
      <c r="AB872" s="103"/>
      <c r="AC872" s="103"/>
      <c r="AD872" s="103"/>
      <c r="AE872" s="103"/>
      <c r="AF872" s="103"/>
      <c r="AG872" s="103"/>
      <c r="AH872" s="103"/>
      <c r="AI872" s="103"/>
      <c r="AJ872" s="103"/>
      <c r="AK872" s="103"/>
      <c r="AL872" s="103"/>
      <c r="AM872" s="103"/>
      <c r="AN872" s="103"/>
      <c r="AO872" s="103"/>
      <c r="AP872" s="103"/>
      <c r="AQ872" s="103"/>
      <c r="AR872" s="103"/>
      <c r="AS872" s="103"/>
      <c r="AT872" s="103">
        <v>30</v>
      </c>
      <c r="AU872" s="103"/>
      <c r="AV872" s="103"/>
      <c r="AW872" s="104" t="str">
        <f>HYPERLINK("http://www.openstreetmap.org/?mlat=35.6746&amp;mlon=44.0729&amp;zoom=12#map=12/35.6746/44.0729","Maplink1")</f>
        <v>Maplink1</v>
      </c>
      <c r="AX872" s="104" t="str">
        <f>HYPERLINK("https://www.google.iq/maps/search/+35.6746,44.0729/@35.6746,44.0729,14z?hl=en","Maplink2")</f>
        <v>Maplink2</v>
      </c>
      <c r="AY872" s="104" t="str">
        <f>HYPERLINK("http://www.bing.com/maps/?lvl=14&amp;sty=h&amp;cp=35.6746~44.0729&amp;sp=point.35.6746_44.0729","Maplink3")</f>
        <v>Maplink3</v>
      </c>
    </row>
    <row r="873" spans="1:51" x14ac:dyDescent="0.2">
      <c r="A873" s="102">
        <v>33385</v>
      </c>
      <c r="B873" s="103" t="s">
        <v>34</v>
      </c>
      <c r="C873" s="103" t="s">
        <v>96</v>
      </c>
      <c r="D873" s="103" t="s">
        <v>1821</v>
      </c>
      <c r="E873" s="103" t="s">
        <v>1822</v>
      </c>
      <c r="F873" s="103">
        <v>35.677379999999999</v>
      </c>
      <c r="G873" s="103">
        <v>44.0718360049</v>
      </c>
      <c r="H873" s="102">
        <v>15</v>
      </c>
      <c r="I873" s="102">
        <v>90</v>
      </c>
      <c r="J873" s="103"/>
      <c r="K873" s="103"/>
      <c r="L873" s="103"/>
      <c r="M873" s="103">
        <v>15</v>
      </c>
      <c r="N873" s="103"/>
      <c r="O873" s="103"/>
      <c r="P873" s="103"/>
      <c r="Q873" s="103"/>
      <c r="R873" s="103"/>
      <c r="S873" s="103"/>
      <c r="T873" s="103"/>
      <c r="U873" s="103"/>
      <c r="V873" s="103"/>
      <c r="W873" s="103"/>
      <c r="X873" s="103"/>
      <c r="Y873" s="103"/>
      <c r="Z873" s="103"/>
      <c r="AA873" s="103">
        <v>15</v>
      </c>
      <c r="AB873" s="103"/>
      <c r="AC873" s="103"/>
      <c r="AD873" s="103"/>
      <c r="AE873" s="103"/>
      <c r="AF873" s="103"/>
      <c r="AG873" s="103"/>
      <c r="AH873" s="103"/>
      <c r="AI873" s="103"/>
      <c r="AJ873" s="103"/>
      <c r="AK873" s="103"/>
      <c r="AL873" s="103"/>
      <c r="AM873" s="103"/>
      <c r="AN873" s="103"/>
      <c r="AO873" s="103"/>
      <c r="AP873" s="103"/>
      <c r="AQ873" s="103"/>
      <c r="AR873" s="103"/>
      <c r="AS873" s="103"/>
      <c r="AT873" s="103">
        <v>15</v>
      </c>
      <c r="AU873" s="103"/>
      <c r="AV873" s="103"/>
      <c r="AW873" s="104" t="str">
        <f>HYPERLINK("http://www.openstreetmap.org/?mlat=35.6774&amp;mlon=44.0718&amp;zoom=12#map=12/35.6774/44.0718","Maplink1")</f>
        <v>Maplink1</v>
      </c>
      <c r="AX873" s="104" t="str">
        <f>HYPERLINK("https://www.google.iq/maps/search/+35.6774,44.0718/@35.6774,44.0718,14z?hl=en","Maplink2")</f>
        <v>Maplink2</v>
      </c>
      <c r="AY873" s="104" t="str">
        <f>HYPERLINK("http://www.bing.com/maps/?lvl=14&amp;sty=h&amp;cp=35.6774~44.0718&amp;sp=point.35.6774_44.0718","Maplink3")</f>
        <v>Maplink3</v>
      </c>
    </row>
    <row r="874" spans="1:51" x14ac:dyDescent="0.2">
      <c r="A874" s="102">
        <v>33383</v>
      </c>
      <c r="B874" s="103" t="s">
        <v>34</v>
      </c>
      <c r="C874" s="103" t="s">
        <v>96</v>
      </c>
      <c r="D874" s="103" t="s">
        <v>1815</v>
      </c>
      <c r="E874" s="103" t="s">
        <v>1816</v>
      </c>
      <c r="F874" s="103">
        <v>35.6753</v>
      </c>
      <c r="G874" s="103">
        <v>44.067394412100001</v>
      </c>
      <c r="H874" s="102">
        <v>40</v>
      </c>
      <c r="I874" s="102">
        <v>240</v>
      </c>
      <c r="J874" s="103"/>
      <c r="K874" s="103"/>
      <c r="L874" s="103"/>
      <c r="M874" s="103">
        <v>40</v>
      </c>
      <c r="N874" s="103"/>
      <c r="O874" s="103"/>
      <c r="P874" s="103"/>
      <c r="Q874" s="103"/>
      <c r="R874" s="103"/>
      <c r="S874" s="103"/>
      <c r="T874" s="103"/>
      <c r="U874" s="103"/>
      <c r="V874" s="103"/>
      <c r="W874" s="103"/>
      <c r="X874" s="103"/>
      <c r="Y874" s="103"/>
      <c r="Z874" s="103"/>
      <c r="AA874" s="103">
        <v>40</v>
      </c>
      <c r="AB874" s="103"/>
      <c r="AC874" s="103"/>
      <c r="AD874" s="103"/>
      <c r="AE874" s="103"/>
      <c r="AF874" s="103"/>
      <c r="AG874" s="103"/>
      <c r="AH874" s="103"/>
      <c r="AI874" s="103"/>
      <c r="AJ874" s="103"/>
      <c r="AK874" s="103"/>
      <c r="AL874" s="103"/>
      <c r="AM874" s="103"/>
      <c r="AN874" s="103"/>
      <c r="AO874" s="103"/>
      <c r="AP874" s="103"/>
      <c r="AQ874" s="103"/>
      <c r="AR874" s="103"/>
      <c r="AS874" s="103"/>
      <c r="AT874" s="103">
        <v>40</v>
      </c>
      <c r="AU874" s="103"/>
      <c r="AV874" s="103"/>
      <c r="AW874" s="104" t="str">
        <f>HYPERLINK("http://www.openstreetmap.org/?mlat=35.6753&amp;mlon=44.0674&amp;zoom=12#map=12/35.6753/44.0674","Maplink1")</f>
        <v>Maplink1</v>
      </c>
      <c r="AX874" s="104" t="str">
        <f>HYPERLINK("https://www.google.iq/maps/search/+35.6753,44.0674/@35.6753,44.0674,14z?hl=en","Maplink2")</f>
        <v>Maplink2</v>
      </c>
      <c r="AY874" s="104" t="str">
        <f>HYPERLINK("http://www.bing.com/maps/?lvl=14&amp;sty=h&amp;cp=35.6753~44.0674&amp;sp=point.35.6753_44.0674","Maplink3")</f>
        <v>Maplink3</v>
      </c>
    </row>
    <row r="875" spans="1:51" x14ac:dyDescent="0.2">
      <c r="A875" s="102">
        <v>14407</v>
      </c>
      <c r="B875" s="103" t="s">
        <v>34</v>
      </c>
      <c r="C875" s="103" t="s">
        <v>96</v>
      </c>
      <c r="D875" s="103" t="s">
        <v>1823</v>
      </c>
      <c r="E875" s="103" t="s">
        <v>1824</v>
      </c>
      <c r="F875" s="103">
        <v>35.600650000000002</v>
      </c>
      <c r="G875" s="103">
        <v>44.196944804099999</v>
      </c>
      <c r="H875" s="102">
        <v>135</v>
      </c>
      <c r="I875" s="102">
        <v>810</v>
      </c>
      <c r="J875" s="103"/>
      <c r="K875" s="103"/>
      <c r="L875" s="103"/>
      <c r="M875" s="103">
        <v>105</v>
      </c>
      <c r="N875" s="103">
        <v>30</v>
      </c>
      <c r="O875" s="103"/>
      <c r="P875" s="103"/>
      <c r="Q875" s="103"/>
      <c r="R875" s="103"/>
      <c r="S875" s="103"/>
      <c r="T875" s="103"/>
      <c r="U875" s="103"/>
      <c r="V875" s="103"/>
      <c r="W875" s="103"/>
      <c r="X875" s="103"/>
      <c r="Y875" s="103"/>
      <c r="Z875" s="103"/>
      <c r="AA875" s="103"/>
      <c r="AB875" s="103"/>
      <c r="AC875" s="103">
        <v>135</v>
      </c>
      <c r="AD875" s="103"/>
      <c r="AE875" s="103"/>
      <c r="AF875" s="103"/>
      <c r="AG875" s="103"/>
      <c r="AH875" s="103"/>
      <c r="AI875" s="103"/>
      <c r="AJ875" s="103"/>
      <c r="AK875" s="103"/>
      <c r="AL875" s="103"/>
      <c r="AM875" s="103"/>
      <c r="AN875" s="103"/>
      <c r="AO875" s="103"/>
      <c r="AP875" s="103"/>
      <c r="AQ875" s="103"/>
      <c r="AR875" s="103">
        <v>135</v>
      </c>
      <c r="AS875" s="103"/>
      <c r="AT875" s="103"/>
      <c r="AU875" s="103"/>
      <c r="AV875" s="103"/>
      <c r="AW875" s="104" t="str">
        <f>HYPERLINK("http://www.openstreetmap.org/?mlat=35.6007&amp;mlon=44.1969&amp;zoom=12#map=12/35.6007/44.1969","Maplink1")</f>
        <v>Maplink1</v>
      </c>
      <c r="AX875" s="104" t="str">
        <f>HYPERLINK("https://www.google.iq/maps/search/+35.6007,44.1969/@35.6007,44.1969,14z?hl=en","Maplink2")</f>
        <v>Maplink2</v>
      </c>
      <c r="AY875" s="104" t="str">
        <f>HYPERLINK("http://www.bing.com/maps/?lvl=14&amp;sty=h&amp;cp=35.6007~44.1969&amp;sp=point.35.6007_44.1969","Maplink3")</f>
        <v>Maplink3</v>
      </c>
    </row>
    <row r="876" spans="1:51" x14ac:dyDescent="0.2">
      <c r="A876" s="102">
        <v>29631</v>
      </c>
      <c r="B876" s="103" t="s">
        <v>34</v>
      </c>
      <c r="C876" s="103" t="s">
        <v>97</v>
      </c>
      <c r="D876" s="103" t="s">
        <v>1841</v>
      </c>
      <c r="E876" s="103" t="s">
        <v>1842</v>
      </c>
      <c r="F876" s="103">
        <v>35.066887999999999</v>
      </c>
      <c r="G876" s="103">
        <v>44.388044733299999</v>
      </c>
      <c r="H876" s="102">
        <v>75</v>
      </c>
      <c r="I876" s="102">
        <v>450</v>
      </c>
      <c r="J876" s="103"/>
      <c r="K876" s="103"/>
      <c r="L876" s="103"/>
      <c r="M876" s="103">
        <v>55</v>
      </c>
      <c r="N876" s="103">
        <v>20</v>
      </c>
      <c r="O876" s="103"/>
      <c r="P876" s="103"/>
      <c r="Q876" s="103"/>
      <c r="R876" s="103"/>
      <c r="S876" s="103"/>
      <c r="T876" s="103"/>
      <c r="U876" s="103"/>
      <c r="V876" s="103"/>
      <c r="W876" s="103"/>
      <c r="X876" s="103"/>
      <c r="Y876" s="103"/>
      <c r="Z876" s="103"/>
      <c r="AA876" s="103"/>
      <c r="AB876" s="103"/>
      <c r="AC876" s="103">
        <v>75</v>
      </c>
      <c r="AD876" s="103"/>
      <c r="AE876" s="103"/>
      <c r="AF876" s="103"/>
      <c r="AG876" s="103"/>
      <c r="AH876" s="103"/>
      <c r="AI876" s="103"/>
      <c r="AJ876" s="103"/>
      <c r="AK876" s="103"/>
      <c r="AL876" s="103"/>
      <c r="AM876" s="103"/>
      <c r="AN876" s="103"/>
      <c r="AO876" s="103"/>
      <c r="AP876" s="103">
        <v>70</v>
      </c>
      <c r="AQ876" s="103"/>
      <c r="AR876" s="103"/>
      <c r="AS876" s="103">
        <v>5</v>
      </c>
      <c r="AT876" s="103"/>
      <c r="AU876" s="103"/>
      <c r="AV876" s="103"/>
      <c r="AW876" s="104" t="str">
        <f>HYPERLINK("http://www.openstreetmap.org/?mlat=35.0669&amp;mlon=44.388&amp;zoom=12#map=12/35.0669/44.388","Maplink1")</f>
        <v>Maplink1</v>
      </c>
      <c r="AX876" s="104" t="str">
        <f>HYPERLINK("https://www.google.iq/maps/search/+35.0669,44.388/@35.0669,44.388,14z?hl=en","Maplink2")</f>
        <v>Maplink2</v>
      </c>
      <c r="AY876" s="104" t="str">
        <f>HYPERLINK("http://www.bing.com/maps/?lvl=14&amp;sty=h&amp;cp=35.0669~44.388&amp;sp=point.35.0669_44.388","Maplink3")</f>
        <v>Maplink3</v>
      </c>
    </row>
    <row r="877" spans="1:51" x14ac:dyDescent="0.2">
      <c r="A877" s="102">
        <v>15139</v>
      </c>
      <c r="B877" s="103" t="s">
        <v>34</v>
      </c>
      <c r="C877" s="103" t="s">
        <v>97</v>
      </c>
      <c r="D877" s="103" t="s">
        <v>1829</v>
      </c>
      <c r="E877" s="103" t="s">
        <v>1830</v>
      </c>
      <c r="F877" s="103">
        <v>35.203330000000001</v>
      </c>
      <c r="G877" s="103">
        <v>44.3630656395</v>
      </c>
      <c r="H877" s="102">
        <v>95</v>
      </c>
      <c r="I877" s="102">
        <v>570</v>
      </c>
      <c r="J877" s="103"/>
      <c r="K877" s="103"/>
      <c r="L877" s="103"/>
      <c r="M877" s="103">
        <v>70</v>
      </c>
      <c r="N877" s="103">
        <v>25</v>
      </c>
      <c r="O877" s="103"/>
      <c r="P877" s="103"/>
      <c r="Q877" s="103"/>
      <c r="R877" s="103"/>
      <c r="S877" s="103"/>
      <c r="T877" s="103"/>
      <c r="U877" s="103"/>
      <c r="V877" s="103"/>
      <c r="W877" s="103"/>
      <c r="X877" s="103"/>
      <c r="Y877" s="103"/>
      <c r="Z877" s="103"/>
      <c r="AA877" s="103"/>
      <c r="AB877" s="103"/>
      <c r="AC877" s="103">
        <v>95</v>
      </c>
      <c r="AD877" s="103"/>
      <c r="AE877" s="103"/>
      <c r="AF877" s="103"/>
      <c r="AG877" s="103"/>
      <c r="AH877" s="103"/>
      <c r="AI877" s="103"/>
      <c r="AJ877" s="103"/>
      <c r="AK877" s="103"/>
      <c r="AL877" s="103"/>
      <c r="AM877" s="103"/>
      <c r="AN877" s="103"/>
      <c r="AO877" s="103"/>
      <c r="AP877" s="103">
        <v>95</v>
      </c>
      <c r="AQ877" s="103"/>
      <c r="AR877" s="103"/>
      <c r="AS877" s="103"/>
      <c r="AT877" s="103"/>
      <c r="AU877" s="103"/>
      <c r="AV877" s="103"/>
      <c r="AW877" s="104" t="str">
        <f>HYPERLINK("http://www.openstreetmap.org/?mlat=35.2033&amp;mlon=44.3631&amp;zoom=12#map=12/35.2033/44.3631","Maplink1")</f>
        <v>Maplink1</v>
      </c>
      <c r="AX877" s="104" t="str">
        <f>HYPERLINK("https://www.google.iq/maps/search/+35.2033,44.3631/@35.2033,44.3631,14z?hl=en","Maplink2")</f>
        <v>Maplink2</v>
      </c>
      <c r="AY877" s="104" t="str">
        <f>HYPERLINK("http://www.bing.com/maps/?lvl=14&amp;sty=h&amp;cp=35.2033~44.3631&amp;sp=point.35.2033_44.3631","Maplink3")</f>
        <v>Maplink3</v>
      </c>
    </row>
    <row r="878" spans="1:51" x14ac:dyDescent="0.2">
      <c r="A878" s="102">
        <v>33292</v>
      </c>
      <c r="B878" s="103" t="s">
        <v>34</v>
      </c>
      <c r="C878" s="103" t="s">
        <v>97</v>
      </c>
      <c r="D878" s="103" t="s">
        <v>1831</v>
      </c>
      <c r="E878" s="103" t="s">
        <v>1832</v>
      </c>
      <c r="F878" s="103">
        <v>35.245809999999999</v>
      </c>
      <c r="G878" s="103">
        <v>44.341417035500001</v>
      </c>
      <c r="H878" s="102">
        <v>136</v>
      </c>
      <c r="I878" s="102">
        <v>816</v>
      </c>
      <c r="J878" s="103"/>
      <c r="K878" s="103"/>
      <c r="L878" s="103"/>
      <c r="M878" s="103">
        <v>81</v>
      </c>
      <c r="N878" s="103">
        <v>55</v>
      </c>
      <c r="O878" s="103"/>
      <c r="P878" s="103"/>
      <c r="Q878" s="103"/>
      <c r="R878" s="103"/>
      <c r="S878" s="103"/>
      <c r="T878" s="103"/>
      <c r="U878" s="103"/>
      <c r="V878" s="103"/>
      <c r="W878" s="103"/>
      <c r="X878" s="103"/>
      <c r="Y878" s="103"/>
      <c r="Z878" s="103"/>
      <c r="AA878" s="103"/>
      <c r="AB878" s="103"/>
      <c r="AC878" s="103">
        <v>136</v>
      </c>
      <c r="AD878" s="103"/>
      <c r="AE878" s="103"/>
      <c r="AF878" s="103"/>
      <c r="AG878" s="103"/>
      <c r="AH878" s="103"/>
      <c r="AI878" s="103"/>
      <c r="AJ878" s="103"/>
      <c r="AK878" s="103"/>
      <c r="AL878" s="103"/>
      <c r="AM878" s="103"/>
      <c r="AN878" s="103">
        <v>136</v>
      </c>
      <c r="AO878" s="103"/>
      <c r="AP878" s="103"/>
      <c r="AQ878" s="103"/>
      <c r="AR878" s="103"/>
      <c r="AS878" s="103"/>
      <c r="AT878" s="103"/>
      <c r="AU878" s="103"/>
      <c r="AV878" s="103"/>
      <c r="AW878" s="104" t="str">
        <f>HYPERLINK("http://www.openstreetmap.org/?mlat=35.2458&amp;mlon=44.3414&amp;zoom=12#map=12/35.2458/44.3414","Maplink1")</f>
        <v>Maplink1</v>
      </c>
      <c r="AX878" s="104" t="str">
        <f>HYPERLINK("https://www.google.iq/maps/search/+35.2458,44.3414/@35.2458,44.3414,14z?hl=en","Maplink2")</f>
        <v>Maplink2</v>
      </c>
      <c r="AY878" s="104" t="str">
        <f>HYPERLINK("http://www.bing.com/maps/?lvl=14&amp;sty=h&amp;cp=35.2458~44.3414&amp;sp=point.35.2458_44.3414","Maplink3")</f>
        <v>Maplink3</v>
      </c>
    </row>
    <row r="879" spans="1:51" x14ac:dyDescent="0.2">
      <c r="A879" s="102">
        <v>14864</v>
      </c>
      <c r="B879" s="103" t="s">
        <v>34</v>
      </c>
      <c r="C879" s="103" t="s">
        <v>97</v>
      </c>
      <c r="D879" s="103" t="s">
        <v>1847</v>
      </c>
      <c r="E879" s="103" t="s">
        <v>1122</v>
      </c>
      <c r="F879" s="103">
        <v>35.049999999999997</v>
      </c>
      <c r="G879" s="103">
        <v>44.369827160900002</v>
      </c>
      <c r="H879" s="102">
        <v>25</v>
      </c>
      <c r="I879" s="102">
        <v>150</v>
      </c>
      <c r="J879" s="103"/>
      <c r="K879" s="103"/>
      <c r="L879" s="103"/>
      <c r="M879" s="103"/>
      <c r="N879" s="103">
        <v>25</v>
      </c>
      <c r="O879" s="103"/>
      <c r="P879" s="103"/>
      <c r="Q879" s="103"/>
      <c r="R879" s="103"/>
      <c r="S879" s="103"/>
      <c r="T879" s="103"/>
      <c r="U879" s="103"/>
      <c r="V879" s="103"/>
      <c r="W879" s="103"/>
      <c r="X879" s="103"/>
      <c r="Y879" s="103"/>
      <c r="Z879" s="103"/>
      <c r="AA879" s="103"/>
      <c r="AB879" s="103"/>
      <c r="AC879" s="103">
        <v>25</v>
      </c>
      <c r="AD879" s="103"/>
      <c r="AE879" s="103"/>
      <c r="AF879" s="103"/>
      <c r="AG879" s="103"/>
      <c r="AH879" s="103"/>
      <c r="AI879" s="103"/>
      <c r="AJ879" s="103"/>
      <c r="AK879" s="103"/>
      <c r="AL879" s="103"/>
      <c r="AM879" s="103"/>
      <c r="AN879" s="103"/>
      <c r="AO879" s="103"/>
      <c r="AP879" s="103">
        <v>25</v>
      </c>
      <c r="AQ879" s="103"/>
      <c r="AR879" s="103"/>
      <c r="AS879" s="103"/>
      <c r="AT879" s="103"/>
      <c r="AU879" s="103"/>
      <c r="AV879" s="103"/>
      <c r="AW879" s="104" t="str">
        <f>HYPERLINK("http://www.openstreetmap.org/?mlat=35.05&amp;mlon=44.3698&amp;zoom=12#map=12/35.05/44.3698","Maplink1")</f>
        <v>Maplink1</v>
      </c>
      <c r="AX879" s="104" t="str">
        <f>HYPERLINK("https://www.google.iq/maps/search/+35.05,44.3698/@35.05,44.3698,14z?hl=en","Maplink2")</f>
        <v>Maplink2</v>
      </c>
      <c r="AY879" s="104" t="str">
        <f>HYPERLINK("http://www.bing.com/maps/?lvl=14&amp;sty=h&amp;cp=35.05~44.3698&amp;sp=point.35.05_44.3698","Maplink3")</f>
        <v>Maplink3</v>
      </c>
    </row>
    <row r="880" spans="1:51" x14ac:dyDescent="0.2">
      <c r="A880" s="102">
        <v>15173</v>
      </c>
      <c r="B880" s="103" t="s">
        <v>34</v>
      </c>
      <c r="C880" s="103" t="s">
        <v>97</v>
      </c>
      <c r="D880" s="103" t="s">
        <v>1827</v>
      </c>
      <c r="E880" s="103" t="s">
        <v>1828</v>
      </c>
      <c r="F880" s="103">
        <v>35.243198999999997</v>
      </c>
      <c r="G880" s="103">
        <v>44.276956251199998</v>
      </c>
      <c r="H880" s="102">
        <v>700</v>
      </c>
      <c r="I880" s="102">
        <v>4200</v>
      </c>
      <c r="J880" s="103"/>
      <c r="K880" s="103"/>
      <c r="L880" s="103"/>
      <c r="M880" s="103">
        <v>600</v>
      </c>
      <c r="N880" s="103">
        <v>100</v>
      </c>
      <c r="O880" s="103"/>
      <c r="P880" s="103"/>
      <c r="Q880" s="103"/>
      <c r="R880" s="103"/>
      <c r="S880" s="103"/>
      <c r="T880" s="103"/>
      <c r="U880" s="103"/>
      <c r="V880" s="103"/>
      <c r="W880" s="103"/>
      <c r="X880" s="103"/>
      <c r="Y880" s="103"/>
      <c r="Z880" s="103"/>
      <c r="AA880" s="103"/>
      <c r="AB880" s="103"/>
      <c r="AC880" s="103">
        <v>700</v>
      </c>
      <c r="AD880" s="103"/>
      <c r="AE880" s="103"/>
      <c r="AF880" s="103"/>
      <c r="AG880" s="103"/>
      <c r="AH880" s="103"/>
      <c r="AI880" s="103"/>
      <c r="AJ880" s="103"/>
      <c r="AK880" s="103"/>
      <c r="AL880" s="103"/>
      <c r="AM880" s="103"/>
      <c r="AN880" s="103">
        <v>700</v>
      </c>
      <c r="AO880" s="103"/>
      <c r="AP880" s="103"/>
      <c r="AQ880" s="103"/>
      <c r="AR880" s="103"/>
      <c r="AS880" s="103"/>
      <c r="AT880" s="103"/>
      <c r="AU880" s="103"/>
      <c r="AV880" s="103"/>
      <c r="AW880" s="104" t="str">
        <f>HYPERLINK("http://www.openstreetmap.org/?mlat=35.2432&amp;mlon=44.277&amp;zoom=12#map=12/35.2432/44.277","Maplink1")</f>
        <v>Maplink1</v>
      </c>
      <c r="AX880" s="104" t="str">
        <f>HYPERLINK("https://www.google.iq/maps/search/+35.2432,44.277/@35.2432,44.277,14z?hl=en","Maplink2")</f>
        <v>Maplink2</v>
      </c>
      <c r="AY880" s="104" t="str">
        <f>HYPERLINK("http://www.bing.com/maps/?lvl=14&amp;sty=h&amp;cp=35.2432~44.277&amp;sp=point.35.2432_44.277","Maplink3")</f>
        <v>Maplink3</v>
      </c>
    </row>
    <row r="881" spans="1:51" x14ac:dyDescent="0.2">
      <c r="A881" s="102">
        <v>14666</v>
      </c>
      <c r="B881" s="103" t="s">
        <v>34</v>
      </c>
      <c r="C881" s="103" t="s">
        <v>97</v>
      </c>
      <c r="D881" s="103" t="s">
        <v>1835</v>
      </c>
      <c r="E881" s="103" t="s">
        <v>1836</v>
      </c>
      <c r="F881" s="103">
        <v>35.228589999999997</v>
      </c>
      <c r="G881" s="103">
        <v>44.6327985183</v>
      </c>
      <c r="H881" s="102">
        <v>30</v>
      </c>
      <c r="I881" s="102">
        <v>180</v>
      </c>
      <c r="J881" s="103"/>
      <c r="K881" s="103"/>
      <c r="L881" s="103"/>
      <c r="M881" s="103">
        <v>30</v>
      </c>
      <c r="N881" s="103"/>
      <c r="O881" s="103"/>
      <c r="P881" s="103"/>
      <c r="Q881" s="103"/>
      <c r="R881" s="103"/>
      <c r="S881" s="103"/>
      <c r="T881" s="103"/>
      <c r="U881" s="103"/>
      <c r="V881" s="103"/>
      <c r="W881" s="103"/>
      <c r="X881" s="103"/>
      <c r="Y881" s="103"/>
      <c r="Z881" s="103"/>
      <c r="AA881" s="103"/>
      <c r="AB881" s="103"/>
      <c r="AC881" s="103"/>
      <c r="AD881" s="103"/>
      <c r="AE881" s="103"/>
      <c r="AF881" s="103"/>
      <c r="AG881" s="103"/>
      <c r="AH881" s="103"/>
      <c r="AI881" s="103"/>
      <c r="AJ881" s="103">
        <v>30</v>
      </c>
      <c r="AK881" s="103"/>
      <c r="AL881" s="103"/>
      <c r="AM881" s="103"/>
      <c r="AN881" s="103"/>
      <c r="AO881" s="103"/>
      <c r="AP881" s="103"/>
      <c r="AQ881" s="103"/>
      <c r="AR881" s="103"/>
      <c r="AS881" s="103"/>
      <c r="AT881" s="103">
        <v>30</v>
      </c>
      <c r="AU881" s="103"/>
      <c r="AV881" s="103"/>
      <c r="AW881" s="104" t="str">
        <f>HYPERLINK("http://www.openstreetmap.org/?mlat=35.2286&amp;mlon=44.6328&amp;zoom=12#map=12/35.2286/44.6328","Maplink1")</f>
        <v>Maplink1</v>
      </c>
      <c r="AX881" s="104" t="str">
        <f>HYPERLINK("https://www.google.iq/maps/search/+35.2286,44.6328/@35.2286,44.6328,14z?hl=en","Maplink2")</f>
        <v>Maplink2</v>
      </c>
      <c r="AY881" s="104" t="str">
        <f>HYPERLINK("http://www.bing.com/maps/?lvl=14&amp;sty=h&amp;cp=35.2286~44.6328&amp;sp=point.35.2286_44.6328","Maplink3")</f>
        <v>Maplink3</v>
      </c>
    </row>
    <row r="882" spans="1:51" x14ac:dyDescent="0.2">
      <c r="A882" s="102">
        <v>14788</v>
      </c>
      <c r="B882" s="103" t="s">
        <v>34</v>
      </c>
      <c r="C882" s="103" t="s">
        <v>97</v>
      </c>
      <c r="D882" s="103" t="s">
        <v>1856</v>
      </c>
      <c r="E882" s="103" t="s">
        <v>1857</v>
      </c>
      <c r="F882" s="103">
        <v>35.210084999999999</v>
      </c>
      <c r="G882" s="103">
        <v>44.380161395599998</v>
      </c>
      <c r="H882" s="102">
        <v>90</v>
      </c>
      <c r="I882" s="102">
        <v>540</v>
      </c>
      <c r="J882" s="103"/>
      <c r="K882" s="103"/>
      <c r="L882" s="103"/>
      <c r="M882" s="103">
        <v>85</v>
      </c>
      <c r="N882" s="103">
        <v>5</v>
      </c>
      <c r="O882" s="103"/>
      <c r="P882" s="103"/>
      <c r="Q882" s="103"/>
      <c r="R882" s="103"/>
      <c r="S882" s="103"/>
      <c r="T882" s="103"/>
      <c r="U882" s="103"/>
      <c r="V882" s="103"/>
      <c r="W882" s="103"/>
      <c r="X882" s="103"/>
      <c r="Y882" s="103"/>
      <c r="Z882" s="103"/>
      <c r="AA882" s="103"/>
      <c r="AB882" s="103"/>
      <c r="AC882" s="103">
        <v>90</v>
      </c>
      <c r="AD882" s="103"/>
      <c r="AE882" s="103"/>
      <c r="AF882" s="103"/>
      <c r="AG882" s="103"/>
      <c r="AH882" s="103"/>
      <c r="AI882" s="103"/>
      <c r="AJ882" s="103"/>
      <c r="AK882" s="103"/>
      <c r="AL882" s="103"/>
      <c r="AM882" s="103"/>
      <c r="AN882" s="103"/>
      <c r="AO882" s="103"/>
      <c r="AP882" s="103">
        <v>90</v>
      </c>
      <c r="AQ882" s="103"/>
      <c r="AR882" s="103"/>
      <c r="AS882" s="103"/>
      <c r="AT882" s="103"/>
      <c r="AU882" s="103"/>
      <c r="AV882" s="103"/>
      <c r="AW882" s="104" t="str">
        <f>HYPERLINK("http://www.openstreetmap.org/?mlat=35.2101&amp;mlon=44.3802&amp;zoom=12#map=12/35.2101/44.3802","Maplink1")</f>
        <v>Maplink1</v>
      </c>
      <c r="AX882" s="104" t="str">
        <f>HYPERLINK("https://www.google.iq/maps/search/+35.2101,44.3802/@35.2101,44.3802,14z?hl=en","Maplink2")</f>
        <v>Maplink2</v>
      </c>
      <c r="AY882" s="104" t="str">
        <f>HYPERLINK("http://www.bing.com/maps/?lvl=14&amp;sty=h&amp;cp=35.2101~44.3802&amp;sp=point.35.2101_44.3802","Maplink3")</f>
        <v>Maplink3</v>
      </c>
    </row>
    <row r="883" spans="1:51" x14ac:dyDescent="0.2">
      <c r="A883" s="102">
        <v>21711</v>
      </c>
      <c r="B883" s="103" t="s">
        <v>34</v>
      </c>
      <c r="C883" s="103" t="s">
        <v>97</v>
      </c>
      <c r="D883" s="103" t="s">
        <v>1837</v>
      </c>
      <c r="E883" s="103" t="s">
        <v>1838</v>
      </c>
      <c r="F883" s="103">
        <v>35.315737935800001</v>
      </c>
      <c r="G883" s="103">
        <v>44.513865689600003</v>
      </c>
      <c r="H883" s="102">
        <v>500</v>
      </c>
      <c r="I883" s="102">
        <v>3000</v>
      </c>
      <c r="J883" s="103"/>
      <c r="K883" s="103"/>
      <c r="L883" s="103"/>
      <c r="M883" s="103">
        <v>500</v>
      </c>
      <c r="N883" s="103"/>
      <c r="O883" s="103"/>
      <c r="P883" s="103"/>
      <c r="Q883" s="103"/>
      <c r="R883" s="103"/>
      <c r="S883" s="103"/>
      <c r="T883" s="103"/>
      <c r="U883" s="103"/>
      <c r="V883" s="103"/>
      <c r="W883" s="103"/>
      <c r="X883" s="103"/>
      <c r="Y883" s="103"/>
      <c r="Z883" s="103"/>
      <c r="AA883" s="103"/>
      <c r="AB883" s="103"/>
      <c r="AC883" s="103"/>
      <c r="AD883" s="103"/>
      <c r="AE883" s="103"/>
      <c r="AF883" s="103"/>
      <c r="AG883" s="103"/>
      <c r="AH883" s="103"/>
      <c r="AI883" s="103"/>
      <c r="AJ883" s="103">
        <v>500</v>
      </c>
      <c r="AK883" s="103"/>
      <c r="AL883" s="103"/>
      <c r="AM883" s="103"/>
      <c r="AN883" s="103"/>
      <c r="AO883" s="103"/>
      <c r="AP883" s="103"/>
      <c r="AQ883" s="103"/>
      <c r="AR883" s="103"/>
      <c r="AS883" s="103"/>
      <c r="AT883" s="103">
        <v>500</v>
      </c>
      <c r="AU883" s="103"/>
      <c r="AV883" s="103"/>
      <c r="AW883" s="104" t="str">
        <f>HYPERLINK("http://www.openstreetmap.org/?mlat=35.3157&amp;mlon=44.5139&amp;zoom=12#map=12/35.3157/44.5139","Maplink1")</f>
        <v>Maplink1</v>
      </c>
      <c r="AX883" s="104" t="str">
        <f>HYPERLINK("https://www.google.iq/maps/search/+35.3157,44.5139/@35.3157,44.5139,14z?hl=en","Maplink2")</f>
        <v>Maplink2</v>
      </c>
      <c r="AY883" s="104" t="str">
        <f>HYPERLINK("http://www.bing.com/maps/?lvl=14&amp;sty=h&amp;cp=35.3157~44.5139&amp;sp=point.35.3157_44.5139","Maplink3")</f>
        <v>Maplink3</v>
      </c>
    </row>
    <row r="884" spans="1:51" x14ac:dyDescent="0.2">
      <c r="A884" s="102">
        <v>33696</v>
      </c>
      <c r="B884" s="103" t="s">
        <v>34</v>
      </c>
      <c r="C884" s="103" t="s">
        <v>97</v>
      </c>
      <c r="D884" s="103" t="s">
        <v>1854</v>
      </c>
      <c r="E884" s="103" t="s">
        <v>1855</v>
      </c>
      <c r="F884" s="103">
        <v>35.32891</v>
      </c>
      <c r="G884" s="103">
        <v>44.242488266499997</v>
      </c>
      <c r="H884" s="102">
        <v>80</v>
      </c>
      <c r="I884" s="102">
        <v>480</v>
      </c>
      <c r="J884" s="103"/>
      <c r="K884" s="103"/>
      <c r="L884" s="103"/>
      <c r="M884" s="103">
        <v>50</v>
      </c>
      <c r="N884" s="103">
        <v>30</v>
      </c>
      <c r="O884" s="103"/>
      <c r="P884" s="103"/>
      <c r="Q884" s="103"/>
      <c r="R884" s="103"/>
      <c r="S884" s="103"/>
      <c r="T884" s="103"/>
      <c r="U884" s="103"/>
      <c r="V884" s="103"/>
      <c r="W884" s="103"/>
      <c r="X884" s="103"/>
      <c r="Y884" s="103"/>
      <c r="Z884" s="103"/>
      <c r="AA884" s="103"/>
      <c r="AB884" s="103"/>
      <c r="AC884" s="103">
        <v>80</v>
      </c>
      <c r="AD884" s="103"/>
      <c r="AE884" s="103"/>
      <c r="AF884" s="103"/>
      <c r="AG884" s="103"/>
      <c r="AH884" s="103"/>
      <c r="AI884" s="103"/>
      <c r="AJ884" s="103"/>
      <c r="AK884" s="103"/>
      <c r="AL884" s="103"/>
      <c r="AM884" s="103"/>
      <c r="AN884" s="103"/>
      <c r="AO884" s="103"/>
      <c r="AP884" s="103">
        <v>80</v>
      </c>
      <c r="AQ884" s="103"/>
      <c r="AR884" s="103"/>
      <c r="AS884" s="103"/>
      <c r="AT884" s="103"/>
      <c r="AU884" s="103"/>
      <c r="AV884" s="103"/>
      <c r="AW884" s="104" t="str">
        <f>HYPERLINK("http://www.openstreetmap.org/?mlat=35.3289&amp;mlon=44.2425&amp;zoom=12#map=12/35.3289/44.2425","Maplink1")</f>
        <v>Maplink1</v>
      </c>
      <c r="AX884" s="104" t="str">
        <f>HYPERLINK("https://www.google.iq/maps/search/+35.3289,44.2425/@35.3289,44.2425,14z?hl=en","Maplink2")</f>
        <v>Maplink2</v>
      </c>
      <c r="AY884" s="104" t="str">
        <f>HYPERLINK("http://www.bing.com/maps/?lvl=14&amp;sty=h&amp;cp=35.3289~44.2425&amp;sp=point.35.3289_44.2425","Maplink3")</f>
        <v>Maplink3</v>
      </c>
    </row>
    <row r="885" spans="1:51" x14ac:dyDescent="0.2">
      <c r="A885" s="102">
        <v>21814</v>
      </c>
      <c r="B885" s="103" t="s">
        <v>34</v>
      </c>
      <c r="C885" s="103" t="s">
        <v>97</v>
      </c>
      <c r="D885" s="103" t="s">
        <v>1839</v>
      </c>
      <c r="E885" s="103" t="s">
        <v>1840</v>
      </c>
      <c r="F885" s="103">
        <v>35.200310000000002</v>
      </c>
      <c r="G885" s="103">
        <v>44.358307199999999</v>
      </c>
      <c r="H885" s="102">
        <v>210</v>
      </c>
      <c r="I885" s="102">
        <v>1260</v>
      </c>
      <c r="J885" s="103"/>
      <c r="K885" s="103"/>
      <c r="L885" s="103"/>
      <c r="M885" s="103">
        <v>170</v>
      </c>
      <c r="N885" s="103">
        <v>40</v>
      </c>
      <c r="O885" s="103"/>
      <c r="P885" s="103"/>
      <c r="Q885" s="103"/>
      <c r="R885" s="103"/>
      <c r="S885" s="103"/>
      <c r="T885" s="103"/>
      <c r="U885" s="103"/>
      <c r="V885" s="103"/>
      <c r="W885" s="103"/>
      <c r="X885" s="103"/>
      <c r="Y885" s="103"/>
      <c r="Z885" s="103"/>
      <c r="AA885" s="103"/>
      <c r="AB885" s="103"/>
      <c r="AC885" s="103">
        <v>210</v>
      </c>
      <c r="AD885" s="103"/>
      <c r="AE885" s="103"/>
      <c r="AF885" s="103"/>
      <c r="AG885" s="103"/>
      <c r="AH885" s="103"/>
      <c r="AI885" s="103"/>
      <c r="AJ885" s="103"/>
      <c r="AK885" s="103"/>
      <c r="AL885" s="103"/>
      <c r="AM885" s="103"/>
      <c r="AN885" s="103"/>
      <c r="AO885" s="103"/>
      <c r="AP885" s="103">
        <v>210</v>
      </c>
      <c r="AQ885" s="103"/>
      <c r="AR885" s="103"/>
      <c r="AS885" s="103"/>
      <c r="AT885" s="103"/>
      <c r="AU885" s="103"/>
      <c r="AV885" s="103"/>
      <c r="AW885" s="104" t="str">
        <f>HYPERLINK("http://www.openstreetmap.org/?mlat=35.2003&amp;mlon=44.3583&amp;zoom=12#map=12/35.2003/44.3583","Maplink1")</f>
        <v>Maplink1</v>
      </c>
      <c r="AX885" s="104" t="str">
        <f>HYPERLINK("https://www.google.iq/maps/search/+35.2003,44.3583/@35.2003,44.3583,14z?hl=en","Maplink2")</f>
        <v>Maplink2</v>
      </c>
      <c r="AY885" s="104" t="str">
        <f>HYPERLINK("http://www.bing.com/maps/?lvl=14&amp;sty=h&amp;cp=35.2003~44.3583&amp;sp=point.35.2003_44.3583","Maplink3")</f>
        <v>Maplink3</v>
      </c>
    </row>
    <row r="886" spans="1:51" x14ac:dyDescent="0.2">
      <c r="A886" s="102">
        <v>21453</v>
      </c>
      <c r="B886" s="103" t="s">
        <v>34</v>
      </c>
      <c r="C886" s="103" t="s">
        <v>97</v>
      </c>
      <c r="D886" s="103" t="s">
        <v>1843</v>
      </c>
      <c r="E886" s="103" t="s">
        <v>1844</v>
      </c>
      <c r="F886" s="103">
        <v>35.149220407400001</v>
      </c>
      <c r="G886" s="103">
        <v>44.440508579300001</v>
      </c>
      <c r="H886" s="102">
        <v>60</v>
      </c>
      <c r="I886" s="102">
        <v>360</v>
      </c>
      <c r="J886" s="103"/>
      <c r="K886" s="103"/>
      <c r="L886" s="103"/>
      <c r="M886" s="103">
        <v>60</v>
      </c>
      <c r="N886" s="103"/>
      <c r="O886" s="103"/>
      <c r="P886" s="103"/>
      <c r="Q886" s="103"/>
      <c r="R886" s="103"/>
      <c r="S886" s="103"/>
      <c r="T886" s="103"/>
      <c r="U886" s="103"/>
      <c r="V886" s="103"/>
      <c r="W886" s="103"/>
      <c r="X886" s="103"/>
      <c r="Y886" s="103"/>
      <c r="Z886" s="103"/>
      <c r="AA886" s="103"/>
      <c r="AB886" s="103"/>
      <c r="AC886" s="103"/>
      <c r="AD886" s="103"/>
      <c r="AE886" s="103"/>
      <c r="AF886" s="103"/>
      <c r="AG886" s="103"/>
      <c r="AH886" s="103"/>
      <c r="AI886" s="103"/>
      <c r="AJ886" s="103">
        <v>60</v>
      </c>
      <c r="AK886" s="103"/>
      <c r="AL886" s="103"/>
      <c r="AM886" s="103"/>
      <c r="AN886" s="103"/>
      <c r="AO886" s="103"/>
      <c r="AP886" s="103"/>
      <c r="AQ886" s="103"/>
      <c r="AR886" s="103"/>
      <c r="AS886" s="103"/>
      <c r="AT886" s="103">
        <v>60</v>
      </c>
      <c r="AU886" s="103"/>
      <c r="AV886" s="103"/>
      <c r="AW886" s="104" t="str">
        <f>HYPERLINK("http://www.openstreetmap.org/?mlat=35.1492&amp;mlon=44.4405&amp;zoom=12#map=12/35.1492/44.4405","Maplink1")</f>
        <v>Maplink1</v>
      </c>
      <c r="AX886" s="104" t="str">
        <f>HYPERLINK("https://www.google.iq/maps/search/+35.1492,44.4405/@35.1492,44.4405,14z?hl=en","Maplink2")</f>
        <v>Maplink2</v>
      </c>
      <c r="AY886" s="104" t="str">
        <f>HYPERLINK("http://www.bing.com/maps/?lvl=14&amp;sty=h&amp;cp=35.1492~44.4405&amp;sp=point.35.1492_44.4405","Maplink3")</f>
        <v>Maplink3</v>
      </c>
    </row>
    <row r="887" spans="1:51" x14ac:dyDescent="0.2">
      <c r="A887" s="102">
        <v>14545</v>
      </c>
      <c r="B887" s="103" t="s">
        <v>34</v>
      </c>
      <c r="C887" s="103" t="s">
        <v>97</v>
      </c>
      <c r="D887" s="103" t="s">
        <v>1845</v>
      </c>
      <c r="E887" s="103" t="s">
        <v>1846</v>
      </c>
      <c r="F887" s="103">
        <v>35.314602938900002</v>
      </c>
      <c r="G887" s="103">
        <v>44.562420593900001</v>
      </c>
      <c r="H887" s="102">
        <v>57</v>
      </c>
      <c r="I887" s="102">
        <v>342</v>
      </c>
      <c r="J887" s="103"/>
      <c r="K887" s="103"/>
      <c r="L887" s="103"/>
      <c r="M887" s="103">
        <v>57</v>
      </c>
      <c r="N887" s="103"/>
      <c r="O887" s="103"/>
      <c r="P887" s="103"/>
      <c r="Q887" s="103"/>
      <c r="R887" s="103"/>
      <c r="S887" s="103"/>
      <c r="T887" s="103"/>
      <c r="U887" s="103"/>
      <c r="V887" s="103"/>
      <c r="W887" s="103"/>
      <c r="X887" s="103"/>
      <c r="Y887" s="103"/>
      <c r="Z887" s="103"/>
      <c r="AA887" s="103">
        <v>1</v>
      </c>
      <c r="AB887" s="103"/>
      <c r="AC887" s="103"/>
      <c r="AD887" s="103"/>
      <c r="AE887" s="103"/>
      <c r="AF887" s="103"/>
      <c r="AG887" s="103"/>
      <c r="AH887" s="103"/>
      <c r="AI887" s="103"/>
      <c r="AJ887" s="103">
        <v>56</v>
      </c>
      <c r="AK887" s="103"/>
      <c r="AL887" s="103"/>
      <c r="AM887" s="103"/>
      <c r="AN887" s="103"/>
      <c r="AO887" s="103"/>
      <c r="AP887" s="103"/>
      <c r="AQ887" s="103"/>
      <c r="AR887" s="103"/>
      <c r="AS887" s="103"/>
      <c r="AT887" s="103">
        <v>57</v>
      </c>
      <c r="AU887" s="103"/>
      <c r="AV887" s="103"/>
      <c r="AW887" s="104" t="str">
        <f>HYPERLINK("http://www.openstreetmap.org/?mlat=35.3146&amp;mlon=44.5624&amp;zoom=12#map=12/35.3146/44.5624","Maplink1")</f>
        <v>Maplink1</v>
      </c>
      <c r="AX887" s="104" t="str">
        <f>HYPERLINK("https://www.google.iq/maps/search/+35.3146,44.5624/@35.3146,44.5624,14z?hl=en","Maplink2")</f>
        <v>Maplink2</v>
      </c>
      <c r="AY887" s="104" t="str">
        <f>HYPERLINK("http://www.bing.com/maps/?lvl=14&amp;sty=h&amp;cp=35.3146~44.5624&amp;sp=point.35.3146_44.5624","Maplink3")</f>
        <v>Maplink3</v>
      </c>
    </row>
    <row r="888" spans="1:51" x14ac:dyDescent="0.2">
      <c r="A888" s="102">
        <v>33227</v>
      </c>
      <c r="B888" s="103" t="s">
        <v>34</v>
      </c>
      <c r="C888" s="103" t="s">
        <v>97</v>
      </c>
      <c r="D888" s="103" t="s">
        <v>1860</v>
      </c>
      <c r="E888" s="103" t="s">
        <v>1861</v>
      </c>
      <c r="F888" s="103">
        <v>35.349350000000001</v>
      </c>
      <c r="G888" s="103">
        <v>44.466467310399999</v>
      </c>
      <c r="H888" s="102">
        <v>7</v>
      </c>
      <c r="I888" s="102">
        <v>42</v>
      </c>
      <c r="J888" s="103"/>
      <c r="K888" s="103"/>
      <c r="L888" s="103"/>
      <c r="M888" s="103">
        <v>7</v>
      </c>
      <c r="N888" s="103"/>
      <c r="O888" s="103"/>
      <c r="P888" s="103"/>
      <c r="Q888" s="103"/>
      <c r="R888" s="103"/>
      <c r="S888" s="103"/>
      <c r="T888" s="103"/>
      <c r="U888" s="103"/>
      <c r="V888" s="103"/>
      <c r="W888" s="103"/>
      <c r="X888" s="103"/>
      <c r="Y888" s="103"/>
      <c r="Z888" s="103"/>
      <c r="AA888" s="103"/>
      <c r="AB888" s="103"/>
      <c r="AC888" s="103"/>
      <c r="AD888" s="103"/>
      <c r="AE888" s="103"/>
      <c r="AF888" s="103"/>
      <c r="AG888" s="103"/>
      <c r="AH888" s="103"/>
      <c r="AI888" s="103"/>
      <c r="AJ888" s="103">
        <v>7</v>
      </c>
      <c r="AK888" s="103"/>
      <c r="AL888" s="103"/>
      <c r="AM888" s="103"/>
      <c r="AN888" s="103"/>
      <c r="AO888" s="103"/>
      <c r="AP888" s="103"/>
      <c r="AQ888" s="103"/>
      <c r="AR888" s="103"/>
      <c r="AS888" s="103"/>
      <c r="AT888" s="103">
        <v>7</v>
      </c>
      <c r="AU888" s="103"/>
      <c r="AV888" s="103"/>
      <c r="AW888" s="104" t="str">
        <f>HYPERLINK("http://www.openstreetmap.org/?mlat=35.3494&amp;mlon=44.4665&amp;zoom=12#map=12/35.3494/44.4665","Maplink1")</f>
        <v>Maplink1</v>
      </c>
      <c r="AX888" s="104" t="str">
        <f>HYPERLINK("https://www.google.iq/maps/search/+35.3494,44.4665/@35.3494,44.4665,14z?hl=en","Maplink2")</f>
        <v>Maplink2</v>
      </c>
      <c r="AY888" s="104" t="str">
        <f>HYPERLINK("http://www.bing.com/maps/?lvl=14&amp;sty=h&amp;cp=35.3494~44.4665&amp;sp=point.35.3494_44.4665","Maplink3")</f>
        <v>Maplink3</v>
      </c>
    </row>
    <row r="889" spans="1:51" x14ac:dyDescent="0.2">
      <c r="A889" s="102">
        <v>25557</v>
      </c>
      <c r="B889" s="103" t="s">
        <v>34</v>
      </c>
      <c r="C889" s="103" t="s">
        <v>97</v>
      </c>
      <c r="D889" s="103" t="s">
        <v>1862</v>
      </c>
      <c r="E889" s="103" t="s">
        <v>1863</v>
      </c>
      <c r="F889" s="103">
        <v>35.418071340600001</v>
      </c>
      <c r="G889" s="103">
        <v>44.629477146799999</v>
      </c>
      <c r="H889" s="102">
        <v>70</v>
      </c>
      <c r="I889" s="102">
        <v>420</v>
      </c>
      <c r="J889" s="103"/>
      <c r="K889" s="103"/>
      <c r="L889" s="103"/>
      <c r="M889" s="103">
        <v>70</v>
      </c>
      <c r="N889" s="103"/>
      <c r="O889" s="103"/>
      <c r="P889" s="103"/>
      <c r="Q889" s="103"/>
      <c r="R889" s="103"/>
      <c r="S889" s="103"/>
      <c r="T889" s="103"/>
      <c r="U889" s="103"/>
      <c r="V889" s="103"/>
      <c r="W889" s="103"/>
      <c r="X889" s="103"/>
      <c r="Y889" s="103"/>
      <c r="Z889" s="103"/>
      <c r="AA889" s="103"/>
      <c r="AB889" s="103"/>
      <c r="AC889" s="103"/>
      <c r="AD889" s="103"/>
      <c r="AE889" s="103"/>
      <c r="AF889" s="103"/>
      <c r="AG889" s="103"/>
      <c r="AH889" s="103"/>
      <c r="AI889" s="103"/>
      <c r="AJ889" s="103">
        <v>70</v>
      </c>
      <c r="AK889" s="103"/>
      <c r="AL889" s="103"/>
      <c r="AM889" s="103"/>
      <c r="AN889" s="103"/>
      <c r="AO889" s="103"/>
      <c r="AP889" s="103"/>
      <c r="AQ889" s="103"/>
      <c r="AR889" s="103"/>
      <c r="AS889" s="103"/>
      <c r="AT889" s="103">
        <v>70</v>
      </c>
      <c r="AU889" s="103"/>
      <c r="AV889" s="103"/>
      <c r="AW889" s="104" t="str">
        <f>HYPERLINK("http://www.openstreetmap.org/?mlat=35.4181&amp;mlon=44.6295&amp;zoom=12#map=12/35.4181/44.6295","Maplink1")</f>
        <v>Maplink1</v>
      </c>
      <c r="AX889" s="104" t="str">
        <f>HYPERLINK("https://www.google.iq/maps/search/+35.4181,44.6295/@35.4181,44.6295,14z?hl=en","Maplink2")</f>
        <v>Maplink2</v>
      </c>
      <c r="AY889" s="104" t="str">
        <f>HYPERLINK("http://www.bing.com/maps/?lvl=14&amp;sty=h&amp;cp=35.4181~44.6295&amp;sp=point.35.4181_44.6295","Maplink3")</f>
        <v>Maplink3</v>
      </c>
    </row>
    <row r="890" spans="1:51" x14ac:dyDescent="0.2">
      <c r="A890" s="102">
        <v>33226</v>
      </c>
      <c r="B890" s="103" t="s">
        <v>34</v>
      </c>
      <c r="C890" s="103" t="s">
        <v>97</v>
      </c>
      <c r="D890" s="103" t="s">
        <v>1864</v>
      </c>
      <c r="E890" s="103" t="s">
        <v>1865</v>
      </c>
      <c r="F890" s="103">
        <v>35.339210000000001</v>
      </c>
      <c r="G890" s="103">
        <v>44.624639999999999</v>
      </c>
      <c r="H890" s="102">
        <v>25</v>
      </c>
      <c r="I890" s="102">
        <v>150</v>
      </c>
      <c r="J890" s="103"/>
      <c r="K890" s="103"/>
      <c r="L890" s="103"/>
      <c r="M890" s="103">
        <v>25</v>
      </c>
      <c r="N890" s="103"/>
      <c r="O890" s="103"/>
      <c r="P890" s="103"/>
      <c r="Q890" s="103"/>
      <c r="R890" s="103"/>
      <c r="S890" s="103"/>
      <c r="T890" s="103"/>
      <c r="U890" s="103"/>
      <c r="V890" s="103"/>
      <c r="W890" s="103"/>
      <c r="X890" s="103"/>
      <c r="Y890" s="103"/>
      <c r="Z890" s="103"/>
      <c r="AA890" s="103"/>
      <c r="AB890" s="103"/>
      <c r="AC890" s="103"/>
      <c r="AD890" s="103"/>
      <c r="AE890" s="103"/>
      <c r="AF890" s="103"/>
      <c r="AG890" s="103"/>
      <c r="AH890" s="103"/>
      <c r="AI890" s="103"/>
      <c r="AJ890" s="103">
        <v>25</v>
      </c>
      <c r="AK890" s="103"/>
      <c r="AL890" s="103"/>
      <c r="AM890" s="103"/>
      <c r="AN890" s="103"/>
      <c r="AO890" s="103"/>
      <c r="AP890" s="103"/>
      <c r="AQ890" s="103"/>
      <c r="AR890" s="103"/>
      <c r="AS890" s="103"/>
      <c r="AT890" s="103">
        <v>25</v>
      </c>
      <c r="AU890" s="103"/>
      <c r="AV890" s="103"/>
      <c r="AW890" s="104" t="str">
        <f>HYPERLINK("http://www.openstreetmap.org/?mlat=35.3392&amp;mlon=44.6246&amp;zoom=12#map=12/35.3392/44.6246","Maplink1")</f>
        <v>Maplink1</v>
      </c>
      <c r="AX890" s="104" t="str">
        <f>HYPERLINK("https://www.google.iq/maps/search/+35.3392,44.6246/@35.3392,44.6246,14z?hl=en","Maplink2")</f>
        <v>Maplink2</v>
      </c>
      <c r="AY890" s="104" t="str">
        <f>HYPERLINK("http://www.bing.com/maps/?lvl=14&amp;sty=h&amp;cp=35.3392~44.6246&amp;sp=point.35.3392_44.6246","Maplink3")</f>
        <v>Maplink3</v>
      </c>
    </row>
    <row r="891" spans="1:51" x14ac:dyDescent="0.2">
      <c r="A891" s="102">
        <v>31725</v>
      </c>
      <c r="B891" s="103" t="s">
        <v>34</v>
      </c>
      <c r="C891" s="103" t="s">
        <v>97</v>
      </c>
      <c r="D891" s="103" t="s">
        <v>1858</v>
      </c>
      <c r="E891" s="103" t="s">
        <v>1859</v>
      </c>
      <c r="F891" s="103">
        <v>35.144328213999998</v>
      </c>
      <c r="G891" s="103">
        <v>44.455644699399997</v>
      </c>
      <c r="H891" s="102">
        <v>90</v>
      </c>
      <c r="I891" s="102">
        <v>540</v>
      </c>
      <c r="J891" s="103"/>
      <c r="K891" s="103"/>
      <c r="L891" s="103"/>
      <c r="M891" s="103">
        <v>90</v>
      </c>
      <c r="N891" s="103"/>
      <c r="O891" s="103"/>
      <c r="P891" s="103"/>
      <c r="Q891" s="103"/>
      <c r="R891" s="103"/>
      <c r="S891" s="103"/>
      <c r="T891" s="103"/>
      <c r="U891" s="103"/>
      <c r="V891" s="103"/>
      <c r="W891" s="103"/>
      <c r="X891" s="103"/>
      <c r="Y891" s="103"/>
      <c r="Z891" s="103"/>
      <c r="AA891" s="103"/>
      <c r="AB891" s="103"/>
      <c r="AC891" s="103"/>
      <c r="AD891" s="103"/>
      <c r="AE891" s="103"/>
      <c r="AF891" s="103"/>
      <c r="AG891" s="103"/>
      <c r="AH891" s="103"/>
      <c r="AI891" s="103"/>
      <c r="AJ891" s="103">
        <v>90</v>
      </c>
      <c r="AK891" s="103"/>
      <c r="AL891" s="103"/>
      <c r="AM891" s="103"/>
      <c r="AN891" s="103"/>
      <c r="AO891" s="103"/>
      <c r="AP891" s="103"/>
      <c r="AQ891" s="103"/>
      <c r="AR891" s="103"/>
      <c r="AS891" s="103"/>
      <c r="AT891" s="103">
        <v>90</v>
      </c>
      <c r="AU891" s="103"/>
      <c r="AV891" s="103"/>
      <c r="AW891" s="104" t="str">
        <f>HYPERLINK("http://www.openstreetmap.org/?mlat=35.1443&amp;mlon=44.4556&amp;zoom=12#map=12/35.1443/44.4556","Maplink1")</f>
        <v>Maplink1</v>
      </c>
      <c r="AX891" s="104" t="str">
        <f>HYPERLINK("https://www.google.iq/maps/search/+35.1443,44.4556/@35.1443,44.4556,14z?hl=en","Maplink2")</f>
        <v>Maplink2</v>
      </c>
      <c r="AY891" s="104" t="str">
        <f>HYPERLINK("http://www.bing.com/maps/?lvl=14&amp;sty=h&amp;cp=35.1443~44.4556&amp;sp=point.35.1443_44.4556","Maplink3")</f>
        <v>Maplink3</v>
      </c>
    </row>
    <row r="892" spans="1:51" x14ac:dyDescent="0.2">
      <c r="A892" s="102">
        <v>15088</v>
      </c>
      <c r="B892" s="103" t="s">
        <v>34</v>
      </c>
      <c r="C892" s="103" t="s">
        <v>97</v>
      </c>
      <c r="D892" s="103" t="s">
        <v>1850</v>
      </c>
      <c r="E892" s="103" t="s">
        <v>1851</v>
      </c>
      <c r="F892" s="103">
        <v>35.361649999999997</v>
      </c>
      <c r="G892" s="103">
        <v>44.470353377899997</v>
      </c>
      <c r="H892" s="102">
        <v>215</v>
      </c>
      <c r="I892" s="102">
        <v>1290</v>
      </c>
      <c r="J892" s="103"/>
      <c r="K892" s="103"/>
      <c r="L892" s="103"/>
      <c r="M892" s="103">
        <v>215</v>
      </c>
      <c r="N892" s="103"/>
      <c r="O892" s="103"/>
      <c r="P892" s="103"/>
      <c r="Q892" s="103"/>
      <c r="R892" s="103"/>
      <c r="S892" s="103"/>
      <c r="T892" s="103"/>
      <c r="U892" s="103"/>
      <c r="V892" s="103"/>
      <c r="W892" s="103"/>
      <c r="X892" s="103"/>
      <c r="Y892" s="103"/>
      <c r="Z892" s="103"/>
      <c r="AA892" s="103"/>
      <c r="AB892" s="103"/>
      <c r="AC892" s="103"/>
      <c r="AD892" s="103"/>
      <c r="AE892" s="103"/>
      <c r="AF892" s="103"/>
      <c r="AG892" s="103"/>
      <c r="AH892" s="103"/>
      <c r="AI892" s="103"/>
      <c r="AJ892" s="103">
        <v>215</v>
      </c>
      <c r="AK892" s="103"/>
      <c r="AL892" s="103"/>
      <c r="AM892" s="103"/>
      <c r="AN892" s="103"/>
      <c r="AO892" s="103"/>
      <c r="AP892" s="103"/>
      <c r="AQ892" s="103"/>
      <c r="AR892" s="103"/>
      <c r="AS892" s="103"/>
      <c r="AT892" s="103">
        <v>215</v>
      </c>
      <c r="AU892" s="103"/>
      <c r="AV892" s="103"/>
      <c r="AW892" s="104" t="str">
        <f>HYPERLINK("http://www.openstreetmap.org/?mlat=35.3616&amp;mlon=44.4704&amp;zoom=12#map=12/35.3616/44.4704","Maplink1")</f>
        <v>Maplink1</v>
      </c>
      <c r="AX892" s="104" t="str">
        <f>HYPERLINK("https://www.google.iq/maps/search/+35.3616,44.4704/@35.3616,44.4704,14z?hl=en","Maplink2")</f>
        <v>Maplink2</v>
      </c>
      <c r="AY892" s="104" t="str">
        <f>HYPERLINK("http://www.bing.com/maps/?lvl=14&amp;sty=h&amp;cp=35.3616~44.4704&amp;sp=point.35.3616_44.4704","Maplink3")</f>
        <v>Maplink3</v>
      </c>
    </row>
    <row r="893" spans="1:51" x14ac:dyDescent="0.2">
      <c r="A893" s="102">
        <v>15427</v>
      </c>
      <c r="B893" s="103" t="s">
        <v>34</v>
      </c>
      <c r="C893" s="103" t="s">
        <v>97</v>
      </c>
      <c r="D893" s="103" t="s">
        <v>1852</v>
      </c>
      <c r="E893" s="103" t="s">
        <v>1853</v>
      </c>
      <c r="F893" s="103">
        <v>35.49136</v>
      </c>
      <c r="G893" s="103">
        <v>44.636857024599998</v>
      </c>
      <c r="H893" s="102">
        <v>80</v>
      </c>
      <c r="I893" s="102">
        <v>480</v>
      </c>
      <c r="J893" s="103"/>
      <c r="K893" s="103"/>
      <c r="L893" s="103"/>
      <c r="M893" s="103">
        <v>80</v>
      </c>
      <c r="N893" s="103"/>
      <c r="O893" s="103"/>
      <c r="P893" s="103"/>
      <c r="Q893" s="103"/>
      <c r="R893" s="103"/>
      <c r="S893" s="103"/>
      <c r="T893" s="103"/>
      <c r="U893" s="103"/>
      <c r="V893" s="103"/>
      <c r="W893" s="103"/>
      <c r="X893" s="103"/>
      <c r="Y893" s="103"/>
      <c r="Z893" s="103"/>
      <c r="AA893" s="103"/>
      <c r="AB893" s="103"/>
      <c r="AC893" s="103"/>
      <c r="AD893" s="103"/>
      <c r="AE893" s="103"/>
      <c r="AF893" s="103"/>
      <c r="AG893" s="103"/>
      <c r="AH893" s="103"/>
      <c r="AI893" s="103"/>
      <c r="AJ893" s="103">
        <v>80</v>
      </c>
      <c r="AK893" s="103"/>
      <c r="AL893" s="103"/>
      <c r="AM893" s="103"/>
      <c r="AN893" s="103"/>
      <c r="AO893" s="103"/>
      <c r="AP893" s="103"/>
      <c r="AQ893" s="103"/>
      <c r="AR893" s="103"/>
      <c r="AS893" s="103"/>
      <c r="AT893" s="103">
        <v>80</v>
      </c>
      <c r="AU893" s="103"/>
      <c r="AV893" s="103"/>
      <c r="AW893" s="104" t="str">
        <f>HYPERLINK("http://www.openstreetmap.org/?mlat=35.4914&amp;mlon=44.6369&amp;zoom=12#map=12/35.4914/44.6369","Maplink1")</f>
        <v>Maplink1</v>
      </c>
      <c r="AX893" s="104" t="str">
        <f>HYPERLINK("https://www.google.iq/maps/search/+35.4914,44.6369/@35.4914,44.6369,14z?hl=en","Maplink2")</f>
        <v>Maplink2</v>
      </c>
      <c r="AY893" s="104" t="str">
        <f>HYPERLINK("http://www.bing.com/maps/?lvl=14&amp;sty=h&amp;cp=35.4914~44.6369&amp;sp=point.35.4914_44.6369","Maplink3")</f>
        <v>Maplink3</v>
      </c>
    </row>
    <row r="894" spans="1:51" x14ac:dyDescent="0.2">
      <c r="A894" s="102">
        <v>26069</v>
      </c>
      <c r="B894" s="103" t="s">
        <v>34</v>
      </c>
      <c r="C894" s="103" t="s">
        <v>97</v>
      </c>
      <c r="D894" s="103" t="s">
        <v>1833</v>
      </c>
      <c r="E894" s="103" t="s">
        <v>1834</v>
      </c>
      <c r="F894" s="103">
        <v>35.239184840299998</v>
      </c>
      <c r="G894" s="103">
        <v>44.607988174699997</v>
      </c>
      <c r="H894" s="102">
        <v>150</v>
      </c>
      <c r="I894" s="102">
        <v>900</v>
      </c>
      <c r="J894" s="103"/>
      <c r="K894" s="103"/>
      <c r="L894" s="103"/>
      <c r="M894" s="103">
        <v>150</v>
      </c>
      <c r="N894" s="103"/>
      <c r="O894" s="103"/>
      <c r="P894" s="103"/>
      <c r="Q894" s="103"/>
      <c r="R894" s="103"/>
      <c r="S894" s="103"/>
      <c r="T894" s="103"/>
      <c r="U894" s="103"/>
      <c r="V894" s="103"/>
      <c r="W894" s="103"/>
      <c r="X894" s="103"/>
      <c r="Y894" s="103"/>
      <c r="Z894" s="103"/>
      <c r="AA894" s="103"/>
      <c r="AB894" s="103"/>
      <c r="AC894" s="103"/>
      <c r="AD894" s="103"/>
      <c r="AE894" s="103"/>
      <c r="AF894" s="103"/>
      <c r="AG894" s="103"/>
      <c r="AH894" s="103"/>
      <c r="AI894" s="103"/>
      <c r="AJ894" s="103">
        <v>150</v>
      </c>
      <c r="AK894" s="103"/>
      <c r="AL894" s="103"/>
      <c r="AM894" s="103"/>
      <c r="AN894" s="103"/>
      <c r="AO894" s="103"/>
      <c r="AP894" s="103"/>
      <c r="AQ894" s="103"/>
      <c r="AR894" s="103"/>
      <c r="AS894" s="103"/>
      <c r="AT894" s="103">
        <v>150</v>
      </c>
      <c r="AU894" s="103"/>
      <c r="AV894" s="103"/>
      <c r="AW894" s="104" t="str">
        <f>HYPERLINK("http://www.openstreetmap.org/?mlat=35.2392&amp;mlon=44.608&amp;zoom=12#map=12/35.2392/44.608","Maplink1")</f>
        <v>Maplink1</v>
      </c>
      <c r="AX894" s="104" t="str">
        <f>HYPERLINK("https://www.google.iq/maps/search/+35.2392,44.608/@35.2392,44.608,14z?hl=en","Maplink2")</f>
        <v>Maplink2</v>
      </c>
      <c r="AY894" s="104" t="str">
        <f>HYPERLINK("http://www.bing.com/maps/?lvl=14&amp;sty=h&amp;cp=35.2392~44.608&amp;sp=point.35.2392_44.608","Maplink3")</f>
        <v>Maplink3</v>
      </c>
    </row>
    <row r="895" spans="1:51" x14ac:dyDescent="0.2">
      <c r="A895" s="102">
        <v>33477</v>
      </c>
      <c r="B895" s="103" t="s">
        <v>34</v>
      </c>
      <c r="C895" s="103" t="s">
        <v>97</v>
      </c>
      <c r="D895" s="103" t="s">
        <v>1825</v>
      </c>
      <c r="E895" s="103" t="s">
        <v>1826</v>
      </c>
      <c r="F895" s="103">
        <v>35.148330290200001</v>
      </c>
      <c r="G895" s="103">
        <v>44.454638892200002</v>
      </c>
      <c r="H895" s="102">
        <v>80</v>
      </c>
      <c r="I895" s="102">
        <v>480</v>
      </c>
      <c r="J895" s="103"/>
      <c r="K895" s="103"/>
      <c r="L895" s="103"/>
      <c r="M895" s="103">
        <v>80</v>
      </c>
      <c r="N895" s="103"/>
      <c r="O895" s="103"/>
      <c r="P895" s="103"/>
      <c r="Q895" s="103"/>
      <c r="R895" s="103"/>
      <c r="S895" s="103"/>
      <c r="T895" s="103"/>
      <c r="U895" s="103"/>
      <c r="V895" s="103"/>
      <c r="W895" s="103"/>
      <c r="X895" s="103"/>
      <c r="Y895" s="103"/>
      <c r="Z895" s="103"/>
      <c r="AA895" s="103"/>
      <c r="AB895" s="103"/>
      <c r="AC895" s="103"/>
      <c r="AD895" s="103"/>
      <c r="AE895" s="103"/>
      <c r="AF895" s="103"/>
      <c r="AG895" s="103"/>
      <c r="AH895" s="103"/>
      <c r="AI895" s="103"/>
      <c r="AJ895" s="103">
        <v>80</v>
      </c>
      <c r="AK895" s="103"/>
      <c r="AL895" s="103"/>
      <c r="AM895" s="103"/>
      <c r="AN895" s="103"/>
      <c r="AO895" s="103"/>
      <c r="AP895" s="103"/>
      <c r="AQ895" s="103"/>
      <c r="AR895" s="103"/>
      <c r="AS895" s="103"/>
      <c r="AT895" s="103">
        <v>80</v>
      </c>
      <c r="AU895" s="103"/>
      <c r="AV895" s="103"/>
      <c r="AW895" s="104" t="str">
        <f>HYPERLINK("http://www.openstreetmap.org/?mlat=35.1483&amp;mlon=44.4546&amp;zoom=12#map=12/35.1483/44.4546","Maplink1")</f>
        <v>Maplink1</v>
      </c>
      <c r="AX895" s="104" t="str">
        <f>HYPERLINK("https://www.google.iq/maps/search/+35.1483,44.4546/@35.1483,44.4546,14z?hl=en","Maplink2")</f>
        <v>Maplink2</v>
      </c>
      <c r="AY895" s="104" t="str">
        <f>HYPERLINK("http://www.bing.com/maps/?lvl=14&amp;sty=h&amp;cp=35.1483~44.4546&amp;sp=point.35.1483_44.4546","Maplink3")</f>
        <v>Maplink3</v>
      </c>
    </row>
    <row r="896" spans="1:51" x14ac:dyDescent="0.2">
      <c r="A896" s="102">
        <v>14786</v>
      </c>
      <c r="B896" s="103" t="s">
        <v>34</v>
      </c>
      <c r="C896" s="103" t="s">
        <v>97</v>
      </c>
      <c r="D896" s="103" t="s">
        <v>1848</v>
      </c>
      <c r="E896" s="103" t="s">
        <v>1849</v>
      </c>
      <c r="F896" s="103">
        <v>35.134636043</v>
      </c>
      <c r="G896" s="103">
        <v>44.437218973500002</v>
      </c>
      <c r="H896" s="102">
        <v>120</v>
      </c>
      <c r="I896" s="102">
        <v>720</v>
      </c>
      <c r="J896" s="103"/>
      <c r="K896" s="103"/>
      <c r="L896" s="103"/>
      <c r="M896" s="103">
        <v>120</v>
      </c>
      <c r="N896" s="103"/>
      <c r="O896" s="103"/>
      <c r="P896" s="103"/>
      <c r="Q896" s="103"/>
      <c r="R896" s="103"/>
      <c r="S896" s="103"/>
      <c r="T896" s="103"/>
      <c r="U896" s="103"/>
      <c r="V896" s="103"/>
      <c r="W896" s="103"/>
      <c r="X896" s="103"/>
      <c r="Y896" s="103"/>
      <c r="Z896" s="103"/>
      <c r="AA896" s="103"/>
      <c r="AB896" s="103"/>
      <c r="AC896" s="103"/>
      <c r="AD896" s="103"/>
      <c r="AE896" s="103"/>
      <c r="AF896" s="103"/>
      <c r="AG896" s="103"/>
      <c r="AH896" s="103"/>
      <c r="AI896" s="103"/>
      <c r="AJ896" s="103">
        <v>120</v>
      </c>
      <c r="AK896" s="103"/>
      <c r="AL896" s="103"/>
      <c r="AM896" s="103"/>
      <c r="AN896" s="103"/>
      <c r="AO896" s="103"/>
      <c r="AP896" s="103"/>
      <c r="AQ896" s="103"/>
      <c r="AR896" s="103"/>
      <c r="AS896" s="103"/>
      <c r="AT896" s="103">
        <v>120</v>
      </c>
      <c r="AU896" s="103"/>
      <c r="AV896" s="103"/>
      <c r="AW896" s="104" t="str">
        <f>HYPERLINK("http://www.openstreetmap.org/?mlat=35.1346&amp;mlon=44.4372&amp;zoom=12#map=12/35.1346/44.4372","Maplink1")</f>
        <v>Maplink1</v>
      </c>
      <c r="AX896" s="104" t="str">
        <f>HYPERLINK("https://www.google.iq/maps/search/+35.1346,44.4372/@35.1346,44.4372,14z?hl=en","Maplink2")</f>
        <v>Maplink2</v>
      </c>
      <c r="AY896" s="104" t="str">
        <f>HYPERLINK("http://www.bing.com/maps/?lvl=14&amp;sty=h&amp;cp=35.1346~44.4372&amp;sp=point.35.1346_44.4372","Maplink3")</f>
        <v>Maplink3</v>
      </c>
    </row>
    <row r="897" spans="1:51" x14ac:dyDescent="0.2">
      <c r="A897" s="102">
        <v>14763</v>
      </c>
      <c r="B897" s="103" t="s">
        <v>34</v>
      </c>
      <c r="C897" s="103" t="s">
        <v>34</v>
      </c>
      <c r="D897" s="103" t="s">
        <v>1944</v>
      </c>
      <c r="E897" s="103" t="s">
        <v>1945</v>
      </c>
      <c r="F897" s="103">
        <v>35.497493596799998</v>
      </c>
      <c r="G897" s="103">
        <v>44.3956196906</v>
      </c>
      <c r="H897" s="102">
        <v>5500</v>
      </c>
      <c r="I897" s="102">
        <v>33000</v>
      </c>
      <c r="J897" s="103"/>
      <c r="K897" s="103"/>
      <c r="L897" s="103"/>
      <c r="M897" s="103">
        <v>5500</v>
      </c>
      <c r="N897" s="103"/>
      <c r="O897" s="103"/>
      <c r="P897" s="103"/>
      <c r="Q897" s="103"/>
      <c r="R897" s="103"/>
      <c r="S897" s="103"/>
      <c r="T897" s="103"/>
      <c r="U897" s="103"/>
      <c r="V897" s="103"/>
      <c r="W897" s="103"/>
      <c r="X897" s="103"/>
      <c r="Y897" s="103"/>
      <c r="Z897" s="103"/>
      <c r="AA897" s="103">
        <v>2000</v>
      </c>
      <c r="AB897" s="103"/>
      <c r="AC897" s="103"/>
      <c r="AD897" s="103"/>
      <c r="AE897" s="103"/>
      <c r="AF897" s="103"/>
      <c r="AG897" s="103"/>
      <c r="AH897" s="103"/>
      <c r="AI897" s="103"/>
      <c r="AJ897" s="103">
        <v>3500</v>
      </c>
      <c r="AK897" s="103"/>
      <c r="AL897" s="103"/>
      <c r="AM897" s="103"/>
      <c r="AN897" s="103"/>
      <c r="AO897" s="103"/>
      <c r="AP897" s="103"/>
      <c r="AQ897" s="103"/>
      <c r="AR897" s="103"/>
      <c r="AS897" s="103"/>
      <c r="AT897" s="103">
        <v>5500</v>
      </c>
      <c r="AU897" s="103"/>
      <c r="AV897" s="103"/>
      <c r="AW897" s="104" t="str">
        <f>HYPERLINK("http://www.openstreetmap.org/?mlat=35.4975&amp;mlon=44.3956&amp;zoom=12#map=12/35.4975/44.3956","Maplink1")</f>
        <v>Maplink1</v>
      </c>
      <c r="AX897" s="104" t="str">
        <f>HYPERLINK("https://www.google.iq/maps/search/+35.4975,44.3956/@35.4975,44.3956,14z?hl=en","Maplink2")</f>
        <v>Maplink2</v>
      </c>
      <c r="AY897" s="104" t="str">
        <f>HYPERLINK("http://www.bing.com/maps/?lvl=14&amp;sty=h&amp;cp=35.4975~44.3956&amp;sp=point.35.4975_44.3956","Maplink3")</f>
        <v>Maplink3</v>
      </c>
    </row>
    <row r="898" spans="1:51" x14ac:dyDescent="0.2">
      <c r="A898" s="102">
        <v>33112</v>
      </c>
      <c r="B898" s="103" t="s">
        <v>34</v>
      </c>
      <c r="C898" s="103" t="s">
        <v>34</v>
      </c>
      <c r="D898" s="103" t="s">
        <v>1946</v>
      </c>
      <c r="E898" s="103" t="s">
        <v>1947</v>
      </c>
      <c r="F898" s="103">
        <v>35.135210000000001</v>
      </c>
      <c r="G898" s="103">
        <v>44.082009781300002</v>
      </c>
      <c r="H898" s="102">
        <v>40</v>
      </c>
      <c r="I898" s="102">
        <v>240</v>
      </c>
      <c r="J898" s="103"/>
      <c r="K898" s="103"/>
      <c r="L898" s="103"/>
      <c r="M898" s="103">
        <v>36</v>
      </c>
      <c r="N898" s="103">
        <v>4</v>
      </c>
      <c r="O898" s="103"/>
      <c r="P898" s="103"/>
      <c r="Q898" s="103"/>
      <c r="R898" s="103"/>
      <c r="S898" s="103"/>
      <c r="T898" s="103"/>
      <c r="U898" s="103"/>
      <c r="V898" s="103"/>
      <c r="W898" s="103"/>
      <c r="X898" s="103"/>
      <c r="Y898" s="103"/>
      <c r="Z898" s="103"/>
      <c r="AA898" s="103"/>
      <c r="AB898" s="103"/>
      <c r="AC898" s="103">
        <v>40</v>
      </c>
      <c r="AD898" s="103"/>
      <c r="AE898" s="103"/>
      <c r="AF898" s="103"/>
      <c r="AG898" s="103"/>
      <c r="AH898" s="103"/>
      <c r="AI898" s="103"/>
      <c r="AJ898" s="103"/>
      <c r="AK898" s="103"/>
      <c r="AL898" s="103"/>
      <c r="AM898" s="103"/>
      <c r="AN898" s="103"/>
      <c r="AO898" s="103"/>
      <c r="AP898" s="103"/>
      <c r="AQ898" s="103">
        <v>10</v>
      </c>
      <c r="AR898" s="103">
        <v>15</v>
      </c>
      <c r="AS898" s="103">
        <v>15</v>
      </c>
      <c r="AT898" s="103"/>
      <c r="AU898" s="103"/>
      <c r="AV898" s="103"/>
      <c r="AW898" s="104" t="str">
        <f>HYPERLINK("http://www.openstreetmap.org/?mlat=35.1352&amp;mlon=44.082&amp;zoom=12#map=12/35.1352/44.082","Maplink1")</f>
        <v>Maplink1</v>
      </c>
      <c r="AX898" s="104" t="str">
        <f>HYPERLINK("https://www.google.iq/maps/search/+35.1352,44.082/@35.1352,44.082,14z?hl=en","Maplink2")</f>
        <v>Maplink2</v>
      </c>
      <c r="AY898" s="104" t="str">
        <f>HYPERLINK("http://www.bing.com/maps/?lvl=14&amp;sty=h&amp;cp=35.1352~44.082&amp;sp=point.35.1352_44.082","Maplink3")</f>
        <v>Maplink3</v>
      </c>
    </row>
    <row r="899" spans="1:51" x14ac:dyDescent="0.2">
      <c r="A899" s="102">
        <v>33695</v>
      </c>
      <c r="B899" s="103" t="s">
        <v>34</v>
      </c>
      <c r="C899" s="103" t="s">
        <v>34</v>
      </c>
      <c r="D899" s="103" t="s">
        <v>1948</v>
      </c>
      <c r="E899" s="103" t="s">
        <v>1949</v>
      </c>
      <c r="F899" s="103">
        <v>35.389400000000002</v>
      </c>
      <c r="G899" s="103">
        <v>44.173740283599997</v>
      </c>
      <c r="H899" s="102">
        <v>12</v>
      </c>
      <c r="I899" s="102">
        <v>72</v>
      </c>
      <c r="J899" s="103"/>
      <c r="K899" s="103"/>
      <c r="L899" s="103"/>
      <c r="M899" s="103"/>
      <c r="N899" s="103"/>
      <c r="O899" s="103">
        <v>12</v>
      </c>
      <c r="P899" s="103"/>
      <c r="Q899" s="103"/>
      <c r="R899" s="103"/>
      <c r="S899" s="103"/>
      <c r="T899" s="103"/>
      <c r="U899" s="103"/>
      <c r="V899" s="103"/>
      <c r="W899" s="103"/>
      <c r="X899" s="103"/>
      <c r="Y899" s="103"/>
      <c r="Z899" s="103"/>
      <c r="AA899" s="103"/>
      <c r="AB899" s="103"/>
      <c r="AC899" s="103">
        <v>12</v>
      </c>
      <c r="AD899" s="103"/>
      <c r="AE899" s="103"/>
      <c r="AF899" s="103"/>
      <c r="AG899" s="103"/>
      <c r="AH899" s="103"/>
      <c r="AI899" s="103"/>
      <c r="AJ899" s="103"/>
      <c r="AK899" s="103"/>
      <c r="AL899" s="103"/>
      <c r="AM899" s="103"/>
      <c r="AN899" s="103">
        <v>12</v>
      </c>
      <c r="AO899" s="103"/>
      <c r="AP899" s="103"/>
      <c r="AQ899" s="103"/>
      <c r="AR899" s="103"/>
      <c r="AS899" s="103"/>
      <c r="AT899" s="103"/>
      <c r="AU899" s="103"/>
      <c r="AV899" s="103"/>
      <c r="AW899" s="104" t="str">
        <f>HYPERLINK("http://www.openstreetmap.org/?mlat=35.3894&amp;mlon=44.1737&amp;zoom=12#map=12/35.3894/44.1737","Maplink1")</f>
        <v>Maplink1</v>
      </c>
      <c r="AX899" s="104" t="str">
        <f>HYPERLINK("https://www.google.iq/maps/search/+35.3894,44.1737/@35.3894,44.1737,14z?hl=en","Maplink2")</f>
        <v>Maplink2</v>
      </c>
      <c r="AY899" s="104" t="str">
        <f>HYPERLINK("http://www.bing.com/maps/?lvl=14&amp;sty=h&amp;cp=35.3894~44.1737&amp;sp=point.35.3894_44.1737","Maplink3")</f>
        <v>Maplink3</v>
      </c>
    </row>
    <row r="900" spans="1:51" x14ac:dyDescent="0.2">
      <c r="A900" s="102">
        <v>28410</v>
      </c>
      <c r="B900" s="103" t="s">
        <v>34</v>
      </c>
      <c r="C900" s="103" t="s">
        <v>34</v>
      </c>
      <c r="D900" s="103" t="s">
        <v>1908</v>
      </c>
      <c r="E900" s="103" t="s">
        <v>1909</v>
      </c>
      <c r="F900" s="103">
        <v>35.554119393400001</v>
      </c>
      <c r="G900" s="103">
        <v>44.360257535000002</v>
      </c>
      <c r="H900" s="102">
        <v>50</v>
      </c>
      <c r="I900" s="102">
        <v>300</v>
      </c>
      <c r="J900" s="103"/>
      <c r="K900" s="103"/>
      <c r="L900" s="103"/>
      <c r="M900" s="103">
        <v>50</v>
      </c>
      <c r="N900" s="103"/>
      <c r="O900" s="103"/>
      <c r="P900" s="103"/>
      <c r="Q900" s="103"/>
      <c r="R900" s="103"/>
      <c r="S900" s="103"/>
      <c r="T900" s="103"/>
      <c r="U900" s="103"/>
      <c r="V900" s="103"/>
      <c r="W900" s="103"/>
      <c r="X900" s="103"/>
      <c r="Y900" s="103"/>
      <c r="Z900" s="103"/>
      <c r="AA900" s="103">
        <v>50</v>
      </c>
      <c r="AB900" s="103"/>
      <c r="AC900" s="103"/>
      <c r="AD900" s="103"/>
      <c r="AE900" s="103"/>
      <c r="AF900" s="103"/>
      <c r="AG900" s="103"/>
      <c r="AH900" s="103"/>
      <c r="AI900" s="103"/>
      <c r="AJ900" s="103"/>
      <c r="AK900" s="103"/>
      <c r="AL900" s="103"/>
      <c r="AM900" s="103"/>
      <c r="AN900" s="103"/>
      <c r="AO900" s="103"/>
      <c r="AP900" s="103"/>
      <c r="AQ900" s="103"/>
      <c r="AR900" s="103"/>
      <c r="AS900" s="103"/>
      <c r="AT900" s="103">
        <v>50</v>
      </c>
      <c r="AU900" s="103"/>
      <c r="AV900" s="103"/>
      <c r="AW900" s="104" t="str">
        <f>HYPERLINK("http://www.openstreetmap.org/?mlat=35.5541&amp;mlon=44.3603&amp;zoom=12#map=12/35.5541/44.3603","Maplink1")</f>
        <v>Maplink1</v>
      </c>
      <c r="AX900" s="104" t="str">
        <f>HYPERLINK("https://www.google.iq/maps/search/+35.5541,44.3603/@35.5541,44.3603,14z?hl=en","Maplink2")</f>
        <v>Maplink2</v>
      </c>
      <c r="AY900" s="104" t="str">
        <f>HYPERLINK("http://www.bing.com/maps/?lvl=14&amp;sty=h&amp;cp=35.5541~44.3603&amp;sp=point.35.5541_44.3603","Maplink3")</f>
        <v>Maplink3</v>
      </c>
    </row>
    <row r="901" spans="1:51" x14ac:dyDescent="0.2">
      <c r="A901" s="102">
        <v>31726</v>
      </c>
      <c r="B901" s="103" t="s">
        <v>34</v>
      </c>
      <c r="C901" s="103" t="s">
        <v>34</v>
      </c>
      <c r="D901" s="103" t="s">
        <v>1910</v>
      </c>
      <c r="E901" s="103" t="s">
        <v>1911</v>
      </c>
      <c r="F901" s="103">
        <v>35.414716994000003</v>
      </c>
      <c r="G901" s="103">
        <v>44.4191466921</v>
      </c>
      <c r="H901" s="102">
        <v>1000</v>
      </c>
      <c r="I901" s="102">
        <v>6000</v>
      </c>
      <c r="J901" s="103"/>
      <c r="K901" s="103"/>
      <c r="L901" s="103"/>
      <c r="M901" s="103">
        <v>1000</v>
      </c>
      <c r="N901" s="103"/>
      <c r="O901" s="103"/>
      <c r="P901" s="103"/>
      <c r="Q901" s="103"/>
      <c r="R901" s="103"/>
      <c r="S901" s="103"/>
      <c r="T901" s="103"/>
      <c r="U901" s="103"/>
      <c r="V901" s="103"/>
      <c r="W901" s="103"/>
      <c r="X901" s="103"/>
      <c r="Y901" s="103"/>
      <c r="Z901" s="103"/>
      <c r="AA901" s="103"/>
      <c r="AB901" s="103"/>
      <c r="AC901" s="103"/>
      <c r="AD901" s="103"/>
      <c r="AE901" s="103"/>
      <c r="AF901" s="103"/>
      <c r="AG901" s="103"/>
      <c r="AH901" s="103"/>
      <c r="AI901" s="103"/>
      <c r="AJ901" s="103">
        <v>1000</v>
      </c>
      <c r="AK901" s="103"/>
      <c r="AL901" s="103"/>
      <c r="AM901" s="103"/>
      <c r="AN901" s="103"/>
      <c r="AO901" s="103"/>
      <c r="AP901" s="103"/>
      <c r="AQ901" s="103"/>
      <c r="AR901" s="103"/>
      <c r="AS901" s="103"/>
      <c r="AT901" s="103">
        <v>1000</v>
      </c>
      <c r="AU901" s="103"/>
      <c r="AV901" s="103"/>
      <c r="AW901" s="104" t="str">
        <f>HYPERLINK("http://www.openstreetmap.org/?mlat=35.4147&amp;mlon=44.4191&amp;zoom=12#map=12/35.4147/44.4191","Maplink1")</f>
        <v>Maplink1</v>
      </c>
      <c r="AX901" s="104" t="str">
        <f>HYPERLINK("https://www.google.iq/maps/search/+35.4147,44.4191/@35.4147,44.4191,14z?hl=en","Maplink2")</f>
        <v>Maplink2</v>
      </c>
      <c r="AY901" s="104" t="str">
        <f>HYPERLINK("http://www.bing.com/maps/?lvl=14&amp;sty=h&amp;cp=35.4147~44.4191&amp;sp=point.35.4147_44.4191","Maplink3")</f>
        <v>Maplink3</v>
      </c>
    </row>
    <row r="902" spans="1:51" x14ac:dyDescent="0.2">
      <c r="A902" s="102">
        <v>31728</v>
      </c>
      <c r="B902" s="103" t="s">
        <v>34</v>
      </c>
      <c r="C902" s="103" t="s">
        <v>34</v>
      </c>
      <c r="D902" s="103" t="s">
        <v>1912</v>
      </c>
      <c r="E902" s="103" t="s">
        <v>1913</v>
      </c>
      <c r="F902" s="103">
        <v>35.407134954199996</v>
      </c>
      <c r="G902" s="103">
        <v>44.404639884399998</v>
      </c>
      <c r="H902" s="102">
        <v>100</v>
      </c>
      <c r="I902" s="102">
        <v>600</v>
      </c>
      <c r="J902" s="103"/>
      <c r="K902" s="103"/>
      <c r="L902" s="103"/>
      <c r="M902" s="103">
        <v>100</v>
      </c>
      <c r="N902" s="103"/>
      <c r="O902" s="103"/>
      <c r="P902" s="103"/>
      <c r="Q902" s="103"/>
      <c r="R902" s="103"/>
      <c r="S902" s="103"/>
      <c r="T902" s="103"/>
      <c r="U902" s="103"/>
      <c r="V902" s="103"/>
      <c r="W902" s="103"/>
      <c r="X902" s="103"/>
      <c r="Y902" s="103"/>
      <c r="Z902" s="103"/>
      <c r="AA902" s="103"/>
      <c r="AB902" s="103"/>
      <c r="AC902" s="103"/>
      <c r="AD902" s="103"/>
      <c r="AE902" s="103"/>
      <c r="AF902" s="103"/>
      <c r="AG902" s="103"/>
      <c r="AH902" s="103"/>
      <c r="AI902" s="103"/>
      <c r="AJ902" s="103">
        <v>100</v>
      </c>
      <c r="AK902" s="103"/>
      <c r="AL902" s="103"/>
      <c r="AM902" s="103"/>
      <c r="AN902" s="103"/>
      <c r="AO902" s="103"/>
      <c r="AP902" s="103"/>
      <c r="AQ902" s="103"/>
      <c r="AR902" s="103"/>
      <c r="AS902" s="103"/>
      <c r="AT902" s="103">
        <v>100</v>
      </c>
      <c r="AU902" s="103"/>
      <c r="AV902" s="103"/>
      <c r="AW902" s="104" t="str">
        <f>HYPERLINK("http://www.openstreetmap.org/?mlat=35.4071&amp;mlon=44.4046&amp;zoom=12#map=12/35.4071/44.4046","Maplink1")</f>
        <v>Maplink1</v>
      </c>
      <c r="AX902" s="104" t="str">
        <f>HYPERLINK("https://www.google.iq/maps/search/+35.4071,44.4046/@35.4071,44.4046,14z?hl=en","Maplink2")</f>
        <v>Maplink2</v>
      </c>
      <c r="AY902" s="104" t="str">
        <f>HYPERLINK("http://www.bing.com/maps/?lvl=14&amp;sty=h&amp;cp=35.4071~44.4046&amp;sp=point.35.4071_44.4046","Maplink3")</f>
        <v>Maplink3</v>
      </c>
    </row>
    <row r="903" spans="1:51" x14ac:dyDescent="0.2">
      <c r="A903" s="102">
        <v>15433</v>
      </c>
      <c r="B903" s="103" t="s">
        <v>34</v>
      </c>
      <c r="C903" s="103" t="s">
        <v>34</v>
      </c>
      <c r="D903" s="103" t="s">
        <v>1896</v>
      </c>
      <c r="E903" s="103" t="s">
        <v>1897</v>
      </c>
      <c r="F903" s="103">
        <v>35.5024861156</v>
      </c>
      <c r="G903" s="103">
        <v>44.334610401399999</v>
      </c>
      <c r="H903" s="102">
        <v>100</v>
      </c>
      <c r="I903" s="102">
        <v>600</v>
      </c>
      <c r="J903" s="103"/>
      <c r="K903" s="103"/>
      <c r="L903" s="103"/>
      <c r="M903" s="103">
        <v>100</v>
      </c>
      <c r="N903" s="103"/>
      <c r="O903" s="103"/>
      <c r="P903" s="103"/>
      <c r="Q903" s="103"/>
      <c r="R903" s="103"/>
      <c r="S903" s="103"/>
      <c r="T903" s="103"/>
      <c r="U903" s="103"/>
      <c r="V903" s="103"/>
      <c r="W903" s="103"/>
      <c r="X903" s="103"/>
      <c r="Y903" s="103"/>
      <c r="Z903" s="103"/>
      <c r="AA903" s="103"/>
      <c r="AB903" s="103"/>
      <c r="AC903" s="103"/>
      <c r="AD903" s="103"/>
      <c r="AE903" s="103"/>
      <c r="AF903" s="103"/>
      <c r="AG903" s="103"/>
      <c r="AH903" s="103"/>
      <c r="AI903" s="103"/>
      <c r="AJ903" s="103">
        <v>100</v>
      </c>
      <c r="AK903" s="103"/>
      <c r="AL903" s="103"/>
      <c r="AM903" s="103"/>
      <c r="AN903" s="103"/>
      <c r="AO903" s="103"/>
      <c r="AP903" s="103"/>
      <c r="AQ903" s="103"/>
      <c r="AR903" s="103"/>
      <c r="AS903" s="103"/>
      <c r="AT903" s="103">
        <v>100</v>
      </c>
      <c r="AU903" s="103"/>
      <c r="AV903" s="103"/>
      <c r="AW903" s="104" t="str">
        <f>HYPERLINK("http://www.openstreetmap.org/?mlat=35.5025&amp;mlon=44.3346&amp;zoom=12#map=12/35.5025/44.3346","Maplink1")</f>
        <v>Maplink1</v>
      </c>
      <c r="AX903" s="104" t="str">
        <f>HYPERLINK("https://www.google.iq/maps/search/+35.5025,44.3346/@35.5025,44.3346,14z?hl=en","Maplink2")</f>
        <v>Maplink2</v>
      </c>
      <c r="AY903" s="104" t="str">
        <f>HYPERLINK("http://www.bing.com/maps/?lvl=14&amp;sty=h&amp;cp=35.5025~44.3346&amp;sp=point.35.5025_44.3346","Maplink3")</f>
        <v>Maplink3</v>
      </c>
    </row>
    <row r="904" spans="1:51" x14ac:dyDescent="0.2">
      <c r="A904" s="102">
        <v>24806</v>
      </c>
      <c r="B904" s="103" t="s">
        <v>34</v>
      </c>
      <c r="C904" s="103" t="s">
        <v>34</v>
      </c>
      <c r="D904" s="103" t="s">
        <v>1898</v>
      </c>
      <c r="E904" s="103" t="s">
        <v>1899</v>
      </c>
      <c r="F904" s="103">
        <v>35.466291830599999</v>
      </c>
      <c r="G904" s="103">
        <v>44.377209190400002</v>
      </c>
      <c r="H904" s="102">
        <v>50</v>
      </c>
      <c r="I904" s="102">
        <v>300</v>
      </c>
      <c r="J904" s="103"/>
      <c r="K904" s="103"/>
      <c r="L904" s="103"/>
      <c r="M904" s="103">
        <v>50</v>
      </c>
      <c r="N904" s="103"/>
      <c r="O904" s="103"/>
      <c r="P904" s="103"/>
      <c r="Q904" s="103"/>
      <c r="R904" s="103"/>
      <c r="S904" s="103"/>
      <c r="T904" s="103"/>
      <c r="U904" s="103"/>
      <c r="V904" s="103"/>
      <c r="W904" s="103"/>
      <c r="X904" s="103"/>
      <c r="Y904" s="103"/>
      <c r="Z904" s="103"/>
      <c r="AA904" s="103"/>
      <c r="AB904" s="103"/>
      <c r="AC904" s="103"/>
      <c r="AD904" s="103"/>
      <c r="AE904" s="103"/>
      <c r="AF904" s="103"/>
      <c r="AG904" s="103"/>
      <c r="AH904" s="103"/>
      <c r="AI904" s="103"/>
      <c r="AJ904" s="103">
        <v>50</v>
      </c>
      <c r="AK904" s="103"/>
      <c r="AL904" s="103"/>
      <c r="AM904" s="103"/>
      <c r="AN904" s="103"/>
      <c r="AO904" s="103"/>
      <c r="AP904" s="103"/>
      <c r="AQ904" s="103"/>
      <c r="AR904" s="103"/>
      <c r="AS904" s="103"/>
      <c r="AT904" s="103">
        <v>50</v>
      </c>
      <c r="AU904" s="103"/>
      <c r="AV904" s="103"/>
      <c r="AW904" s="104" t="str">
        <f>HYPERLINK("http://www.openstreetmap.org/?mlat=35.4663&amp;mlon=44.3772&amp;zoom=12#map=12/35.4663/44.3772","Maplink1")</f>
        <v>Maplink1</v>
      </c>
      <c r="AX904" s="104" t="str">
        <f>HYPERLINK("https://www.google.iq/maps/search/+35.4663,44.3772/@35.4663,44.3772,14z?hl=en","Maplink2")</f>
        <v>Maplink2</v>
      </c>
      <c r="AY904" s="104" t="str">
        <f>HYPERLINK("http://www.bing.com/maps/?lvl=14&amp;sty=h&amp;cp=35.4663~44.3772&amp;sp=point.35.4663_44.3772","Maplink3")</f>
        <v>Maplink3</v>
      </c>
    </row>
    <row r="905" spans="1:51" x14ac:dyDescent="0.2">
      <c r="A905" s="102">
        <v>33599</v>
      </c>
      <c r="B905" s="103" t="s">
        <v>34</v>
      </c>
      <c r="C905" s="103" t="s">
        <v>34</v>
      </c>
      <c r="D905" s="103" t="s">
        <v>1900</v>
      </c>
      <c r="E905" s="103" t="s">
        <v>1901</v>
      </c>
      <c r="F905" s="103">
        <v>35.35998</v>
      </c>
      <c r="G905" s="103">
        <v>44.224514904700001</v>
      </c>
      <c r="H905" s="102">
        <v>17</v>
      </c>
      <c r="I905" s="102">
        <v>102</v>
      </c>
      <c r="J905" s="103"/>
      <c r="K905" s="103"/>
      <c r="L905" s="103"/>
      <c r="M905" s="103">
        <v>17</v>
      </c>
      <c r="N905" s="103"/>
      <c r="O905" s="103"/>
      <c r="P905" s="103"/>
      <c r="Q905" s="103"/>
      <c r="R905" s="103"/>
      <c r="S905" s="103"/>
      <c r="T905" s="103"/>
      <c r="U905" s="103"/>
      <c r="V905" s="103"/>
      <c r="W905" s="103"/>
      <c r="X905" s="103"/>
      <c r="Y905" s="103"/>
      <c r="Z905" s="103"/>
      <c r="AA905" s="103"/>
      <c r="AB905" s="103"/>
      <c r="AC905" s="103">
        <v>17</v>
      </c>
      <c r="AD905" s="103"/>
      <c r="AE905" s="103"/>
      <c r="AF905" s="103"/>
      <c r="AG905" s="103"/>
      <c r="AH905" s="103"/>
      <c r="AI905" s="103"/>
      <c r="AJ905" s="103"/>
      <c r="AK905" s="103"/>
      <c r="AL905" s="103"/>
      <c r="AM905" s="103"/>
      <c r="AN905" s="103"/>
      <c r="AO905" s="103"/>
      <c r="AP905" s="103">
        <v>17</v>
      </c>
      <c r="AQ905" s="103"/>
      <c r="AR905" s="103"/>
      <c r="AS905" s="103"/>
      <c r="AT905" s="103"/>
      <c r="AU905" s="103"/>
      <c r="AV905" s="103"/>
      <c r="AW905" s="104" t="str">
        <f>HYPERLINK("http://www.openstreetmap.org/?mlat=35.36&amp;mlon=44.2245&amp;zoom=12#map=12/35.36/44.2245","Maplink1")</f>
        <v>Maplink1</v>
      </c>
      <c r="AX905" s="104" t="str">
        <f>HYPERLINK("https://www.google.iq/maps/search/+35.36,44.2245/@35.36,44.2245,14z?hl=en","Maplink2")</f>
        <v>Maplink2</v>
      </c>
      <c r="AY905" s="104" t="str">
        <f>HYPERLINK("http://www.bing.com/maps/?lvl=14&amp;sty=h&amp;cp=35.36~44.2245&amp;sp=point.35.36_44.2245","Maplink3")</f>
        <v>Maplink3</v>
      </c>
    </row>
    <row r="906" spans="1:51" x14ac:dyDescent="0.2">
      <c r="A906" s="102">
        <v>15442</v>
      </c>
      <c r="B906" s="103" t="s">
        <v>34</v>
      </c>
      <c r="C906" s="103" t="s">
        <v>34</v>
      </c>
      <c r="D906" s="103" t="s">
        <v>1940</v>
      </c>
      <c r="E906" s="103" t="s">
        <v>1941</v>
      </c>
      <c r="F906" s="103">
        <v>35.525015224900002</v>
      </c>
      <c r="G906" s="103">
        <v>44.384843031800003</v>
      </c>
      <c r="H906" s="102">
        <v>1500</v>
      </c>
      <c r="I906" s="102">
        <v>9000</v>
      </c>
      <c r="J906" s="103"/>
      <c r="K906" s="103"/>
      <c r="L906" s="103"/>
      <c r="M906" s="103">
        <v>1500</v>
      </c>
      <c r="N906" s="103"/>
      <c r="O906" s="103"/>
      <c r="P906" s="103"/>
      <c r="Q906" s="103"/>
      <c r="R906" s="103"/>
      <c r="S906" s="103"/>
      <c r="T906" s="103"/>
      <c r="U906" s="103"/>
      <c r="V906" s="103"/>
      <c r="W906" s="103"/>
      <c r="X906" s="103"/>
      <c r="Y906" s="103"/>
      <c r="Z906" s="103"/>
      <c r="AA906" s="103">
        <v>500</v>
      </c>
      <c r="AB906" s="103"/>
      <c r="AC906" s="103"/>
      <c r="AD906" s="103"/>
      <c r="AE906" s="103"/>
      <c r="AF906" s="103"/>
      <c r="AG906" s="103"/>
      <c r="AH906" s="103"/>
      <c r="AI906" s="103"/>
      <c r="AJ906" s="103">
        <v>1000</v>
      </c>
      <c r="AK906" s="103"/>
      <c r="AL906" s="103"/>
      <c r="AM906" s="103"/>
      <c r="AN906" s="103"/>
      <c r="AO906" s="103"/>
      <c r="AP906" s="103"/>
      <c r="AQ906" s="103"/>
      <c r="AR906" s="103"/>
      <c r="AS906" s="103"/>
      <c r="AT906" s="103">
        <v>1500</v>
      </c>
      <c r="AU906" s="103"/>
      <c r="AV906" s="103"/>
      <c r="AW906" s="104" t="str">
        <f>HYPERLINK("http://www.openstreetmap.org/?mlat=35.525&amp;mlon=44.3848&amp;zoom=12#map=12/35.525/44.3848","Maplink1")</f>
        <v>Maplink1</v>
      </c>
      <c r="AX906" s="104" t="str">
        <f>HYPERLINK("https://www.google.iq/maps/search/+35.525,44.3848/@35.525,44.3848,14z?hl=en","Maplink2")</f>
        <v>Maplink2</v>
      </c>
      <c r="AY906" s="104" t="str">
        <f>HYPERLINK("http://www.bing.com/maps/?lvl=14&amp;sty=h&amp;cp=35.525~44.3848&amp;sp=point.35.525_44.3848","Maplink3")</f>
        <v>Maplink3</v>
      </c>
    </row>
    <row r="907" spans="1:51" x14ac:dyDescent="0.2">
      <c r="A907" s="102">
        <v>14572</v>
      </c>
      <c r="B907" s="103" t="s">
        <v>34</v>
      </c>
      <c r="C907" s="103" t="s">
        <v>34</v>
      </c>
      <c r="D907" s="103" t="s">
        <v>1942</v>
      </c>
      <c r="E907" s="103" t="s">
        <v>1943</v>
      </c>
      <c r="F907" s="103">
        <v>35.414700000000003</v>
      </c>
      <c r="G907" s="103">
        <v>44.0518</v>
      </c>
      <c r="H907" s="102">
        <v>38</v>
      </c>
      <c r="I907" s="102">
        <v>228</v>
      </c>
      <c r="J907" s="103"/>
      <c r="K907" s="103"/>
      <c r="L907" s="103"/>
      <c r="M907" s="103">
        <v>38</v>
      </c>
      <c r="N907" s="103"/>
      <c r="O907" s="103"/>
      <c r="P907" s="103"/>
      <c r="Q907" s="103"/>
      <c r="R907" s="103"/>
      <c r="S907" s="103"/>
      <c r="T907" s="103"/>
      <c r="U907" s="103"/>
      <c r="V907" s="103"/>
      <c r="W907" s="103"/>
      <c r="X907" s="103"/>
      <c r="Y907" s="103"/>
      <c r="Z907" s="103"/>
      <c r="AA907" s="103"/>
      <c r="AB907" s="103"/>
      <c r="AC907" s="103">
        <v>38</v>
      </c>
      <c r="AD907" s="103"/>
      <c r="AE907" s="103"/>
      <c r="AF907" s="103"/>
      <c r="AG907" s="103"/>
      <c r="AH907" s="103"/>
      <c r="AI907" s="103"/>
      <c r="AJ907" s="103"/>
      <c r="AK907" s="103"/>
      <c r="AL907" s="103"/>
      <c r="AM907" s="103"/>
      <c r="AN907" s="103"/>
      <c r="AO907" s="103">
        <v>10</v>
      </c>
      <c r="AP907" s="103">
        <v>28</v>
      </c>
      <c r="AQ907" s="103"/>
      <c r="AR907" s="103"/>
      <c r="AS907" s="103"/>
      <c r="AT907" s="103"/>
      <c r="AU907" s="103"/>
      <c r="AV907" s="103"/>
      <c r="AW907" s="104" t="str">
        <f>HYPERLINK("http://www.openstreetmap.org/?mlat=35.4147&amp;mlon=44.0518&amp;zoom=12#map=12/35.4147/44.0518","Maplink1")</f>
        <v>Maplink1</v>
      </c>
      <c r="AX907" s="104" t="str">
        <f>HYPERLINK("https://www.google.iq/maps/search/+35.4147,44.0518/@35.4147,44.0518,14z?hl=en","Maplink2")</f>
        <v>Maplink2</v>
      </c>
      <c r="AY907" s="104" t="str">
        <f>HYPERLINK("http://www.bing.com/maps/?lvl=14&amp;sty=h&amp;cp=35.4147~44.0518&amp;sp=point.35.4147_44.0518","Maplink3")</f>
        <v>Maplink3</v>
      </c>
    </row>
    <row r="908" spans="1:51" x14ac:dyDescent="0.2">
      <c r="A908" s="102">
        <v>33853</v>
      </c>
      <c r="B908" s="103" t="s">
        <v>34</v>
      </c>
      <c r="C908" s="103" t="s">
        <v>34</v>
      </c>
      <c r="D908" s="103" t="s">
        <v>1930</v>
      </c>
      <c r="E908" s="103" t="s">
        <v>1931</v>
      </c>
      <c r="F908" s="103">
        <v>35.432270000000003</v>
      </c>
      <c r="G908" s="103">
        <v>44.143037</v>
      </c>
      <c r="H908" s="102">
        <v>50</v>
      </c>
      <c r="I908" s="102">
        <v>300</v>
      </c>
      <c r="J908" s="103"/>
      <c r="K908" s="103"/>
      <c r="L908" s="103"/>
      <c r="M908" s="103">
        <v>50</v>
      </c>
      <c r="N908" s="103"/>
      <c r="O908" s="103"/>
      <c r="P908" s="103"/>
      <c r="Q908" s="103"/>
      <c r="R908" s="103"/>
      <c r="S908" s="103"/>
      <c r="T908" s="103"/>
      <c r="U908" s="103"/>
      <c r="V908" s="103"/>
      <c r="W908" s="103"/>
      <c r="X908" s="103"/>
      <c r="Y908" s="103"/>
      <c r="Z908" s="103"/>
      <c r="AA908" s="103"/>
      <c r="AB908" s="103"/>
      <c r="AC908" s="103">
        <v>50</v>
      </c>
      <c r="AD908" s="103"/>
      <c r="AE908" s="103"/>
      <c r="AF908" s="103"/>
      <c r="AG908" s="103"/>
      <c r="AH908" s="103"/>
      <c r="AI908" s="103"/>
      <c r="AJ908" s="103"/>
      <c r="AK908" s="103"/>
      <c r="AL908" s="103"/>
      <c r="AM908" s="103"/>
      <c r="AN908" s="103">
        <v>50</v>
      </c>
      <c r="AO908" s="103"/>
      <c r="AP908" s="103"/>
      <c r="AQ908" s="103"/>
      <c r="AR908" s="103"/>
      <c r="AS908" s="103"/>
      <c r="AT908" s="103"/>
      <c r="AU908" s="103"/>
      <c r="AV908" s="103"/>
      <c r="AW908" s="104" t="str">
        <f>HYPERLINK("http://www.openstreetmap.org/?mlat=35.4323&amp;mlon=44.143&amp;zoom=12#map=12/35.4323/44.143","Maplink1")</f>
        <v>Maplink1</v>
      </c>
      <c r="AX908" s="104" t="str">
        <f>HYPERLINK("https://www.google.iq/maps/search/+35.4323,44.143/@35.4323,44.143,14z?hl=en","Maplink2")</f>
        <v>Maplink2</v>
      </c>
      <c r="AY908" s="104" t="str">
        <f>HYPERLINK("http://www.bing.com/maps/?lvl=14&amp;sty=h&amp;cp=35.4323~44.143&amp;sp=point.35.4323_44.143","Maplink3")</f>
        <v>Maplink3</v>
      </c>
    </row>
    <row r="909" spans="1:51" x14ac:dyDescent="0.2">
      <c r="A909" s="102">
        <v>24359</v>
      </c>
      <c r="B909" s="103" t="s">
        <v>34</v>
      </c>
      <c r="C909" s="103" t="s">
        <v>34</v>
      </c>
      <c r="D909" s="103" t="s">
        <v>1936</v>
      </c>
      <c r="E909" s="103" t="s">
        <v>1937</v>
      </c>
      <c r="F909" s="103">
        <v>35.439308783000001</v>
      </c>
      <c r="G909" s="103">
        <v>44.413350271200002</v>
      </c>
      <c r="H909" s="102">
        <v>500</v>
      </c>
      <c r="I909" s="102">
        <v>3000</v>
      </c>
      <c r="J909" s="103"/>
      <c r="K909" s="103"/>
      <c r="L909" s="103"/>
      <c r="M909" s="103">
        <v>500</v>
      </c>
      <c r="N909" s="103"/>
      <c r="O909" s="103"/>
      <c r="P909" s="103"/>
      <c r="Q909" s="103"/>
      <c r="R909" s="103"/>
      <c r="S909" s="103"/>
      <c r="T909" s="103"/>
      <c r="U909" s="103"/>
      <c r="V909" s="103"/>
      <c r="W909" s="103"/>
      <c r="X909" s="103"/>
      <c r="Y909" s="103"/>
      <c r="Z909" s="103"/>
      <c r="AA909" s="103"/>
      <c r="AB909" s="103"/>
      <c r="AC909" s="103"/>
      <c r="AD909" s="103"/>
      <c r="AE909" s="103"/>
      <c r="AF909" s="103"/>
      <c r="AG909" s="103"/>
      <c r="AH909" s="103"/>
      <c r="AI909" s="103"/>
      <c r="AJ909" s="103">
        <v>500</v>
      </c>
      <c r="AK909" s="103"/>
      <c r="AL909" s="103"/>
      <c r="AM909" s="103"/>
      <c r="AN909" s="103"/>
      <c r="AO909" s="103"/>
      <c r="AP909" s="103"/>
      <c r="AQ909" s="103"/>
      <c r="AR909" s="103"/>
      <c r="AS909" s="103"/>
      <c r="AT909" s="103">
        <v>500</v>
      </c>
      <c r="AU909" s="103"/>
      <c r="AV909" s="103"/>
      <c r="AW909" s="104" t="str">
        <f>HYPERLINK("http://www.openstreetmap.org/?mlat=35.4393&amp;mlon=44.4134&amp;zoom=12#map=12/35.4393/44.4134","Maplink1")</f>
        <v>Maplink1</v>
      </c>
      <c r="AX909" s="104" t="str">
        <f>HYPERLINK("https://www.google.iq/maps/search/+35.4393,44.4134/@35.4393,44.4134,14z?hl=en","Maplink2")</f>
        <v>Maplink2</v>
      </c>
      <c r="AY909" s="104" t="str">
        <f>HYPERLINK("http://www.bing.com/maps/?lvl=14&amp;sty=h&amp;cp=35.4393~44.4134&amp;sp=point.35.4393_44.4134","Maplink3")</f>
        <v>Maplink3</v>
      </c>
    </row>
    <row r="910" spans="1:51" x14ac:dyDescent="0.2">
      <c r="A910" s="102">
        <v>29483</v>
      </c>
      <c r="B910" s="103" t="s">
        <v>34</v>
      </c>
      <c r="C910" s="103" t="s">
        <v>34</v>
      </c>
      <c r="D910" s="103" t="s">
        <v>1938</v>
      </c>
      <c r="E910" s="103" t="s">
        <v>1939</v>
      </c>
      <c r="F910" s="103">
        <v>35.464869999999998</v>
      </c>
      <c r="G910" s="103">
        <v>44.128892360000002</v>
      </c>
      <c r="H910" s="102">
        <v>130</v>
      </c>
      <c r="I910" s="102">
        <v>780</v>
      </c>
      <c r="J910" s="103"/>
      <c r="K910" s="103"/>
      <c r="L910" s="103"/>
      <c r="M910" s="103">
        <v>130</v>
      </c>
      <c r="N910" s="103"/>
      <c r="O910" s="103"/>
      <c r="P910" s="103"/>
      <c r="Q910" s="103"/>
      <c r="R910" s="103"/>
      <c r="S910" s="103"/>
      <c r="T910" s="103"/>
      <c r="U910" s="103"/>
      <c r="V910" s="103"/>
      <c r="W910" s="103"/>
      <c r="X910" s="103"/>
      <c r="Y910" s="103"/>
      <c r="Z910" s="103"/>
      <c r="AA910" s="103"/>
      <c r="AB910" s="103"/>
      <c r="AC910" s="103">
        <v>130</v>
      </c>
      <c r="AD910" s="103"/>
      <c r="AE910" s="103"/>
      <c r="AF910" s="103"/>
      <c r="AG910" s="103"/>
      <c r="AH910" s="103"/>
      <c r="AI910" s="103"/>
      <c r="AJ910" s="103"/>
      <c r="AK910" s="103"/>
      <c r="AL910" s="103"/>
      <c r="AM910" s="103"/>
      <c r="AN910" s="103"/>
      <c r="AO910" s="103"/>
      <c r="AP910" s="103">
        <v>130</v>
      </c>
      <c r="AQ910" s="103"/>
      <c r="AR910" s="103"/>
      <c r="AS910" s="103"/>
      <c r="AT910" s="103"/>
      <c r="AU910" s="103"/>
      <c r="AV910" s="103"/>
      <c r="AW910" s="104" t="str">
        <f>HYPERLINK("http://www.openstreetmap.org/?mlat=35.4649&amp;mlon=44.1289&amp;zoom=12#map=12/35.4649/44.1289","Maplink1")</f>
        <v>Maplink1</v>
      </c>
      <c r="AX910" s="104" t="str">
        <f>HYPERLINK("https://www.google.iq/maps/search/+35.4649,44.1289/@35.4649,44.1289,14z?hl=en","Maplink2")</f>
        <v>Maplink2</v>
      </c>
      <c r="AY910" s="104" t="str">
        <f>HYPERLINK("http://www.bing.com/maps/?lvl=14&amp;sty=h&amp;cp=35.4649~44.1289&amp;sp=point.35.4649_44.1289","Maplink3")</f>
        <v>Maplink3</v>
      </c>
    </row>
    <row r="911" spans="1:51" x14ac:dyDescent="0.2">
      <c r="A911" s="102">
        <v>24202</v>
      </c>
      <c r="B911" s="103" t="s">
        <v>34</v>
      </c>
      <c r="C911" s="103" t="s">
        <v>34</v>
      </c>
      <c r="D911" s="103" t="s">
        <v>1923</v>
      </c>
      <c r="E911" s="103" t="s">
        <v>1924</v>
      </c>
      <c r="F911" s="103">
        <v>35.383600000000001</v>
      </c>
      <c r="G911" s="103">
        <v>44.075099999999999</v>
      </c>
      <c r="H911" s="102">
        <v>78</v>
      </c>
      <c r="I911" s="102">
        <v>468</v>
      </c>
      <c r="J911" s="103"/>
      <c r="K911" s="103"/>
      <c r="L911" s="103"/>
      <c r="M911" s="103">
        <v>78</v>
      </c>
      <c r="N911" s="103"/>
      <c r="O911" s="103"/>
      <c r="P911" s="103"/>
      <c r="Q911" s="103"/>
      <c r="R911" s="103"/>
      <c r="S911" s="103"/>
      <c r="T911" s="103"/>
      <c r="U911" s="103"/>
      <c r="V911" s="103"/>
      <c r="W911" s="103"/>
      <c r="X911" s="103"/>
      <c r="Y911" s="103"/>
      <c r="Z911" s="103"/>
      <c r="AA911" s="103"/>
      <c r="AB911" s="103"/>
      <c r="AC911" s="103">
        <v>78</v>
      </c>
      <c r="AD911" s="103"/>
      <c r="AE911" s="103"/>
      <c r="AF911" s="103"/>
      <c r="AG911" s="103"/>
      <c r="AH911" s="103"/>
      <c r="AI911" s="103"/>
      <c r="AJ911" s="103"/>
      <c r="AK911" s="103"/>
      <c r="AL911" s="103"/>
      <c r="AM911" s="103"/>
      <c r="AN911" s="103">
        <v>35</v>
      </c>
      <c r="AO911" s="103">
        <v>30</v>
      </c>
      <c r="AP911" s="103">
        <v>13</v>
      </c>
      <c r="AQ911" s="103"/>
      <c r="AR911" s="103"/>
      <c r="AS911" s="103"/>
      <c r="AT911" s="103"/>
      <c r="AU911" s="103"/>
      <c r="AV911" s="103"/>
      <c r="AW911" s="104" t="str">
        <f>HYPERLINK("http://www.openstreetmap.org/?mlat=35.3836&amp;mlon=44.0751&amp;zoom=12#map=12/35.3836/44.0751","Maplink1")</f>
        <v>Maplink1</v>
      </c>
      <c r="AX911" s="104" t="str">
        <f>HYPERLINK("https://www.google.iq/maps/search/+35.3836,44.0751/@35.3836,44.0751,14z?hl=en","Maplink2")</f>
        <v>Maplink2</v>
      </c>
      <c r="AY911" s="104" t="str">
        <f>HYPERLINK("http://www.bing.com/maps/?lvl=14&amp;sty=h&amp;cp=35.3836~44.0751&amp;sp=point.35.3836_44.0751","Maplink3")</f>
        <v>Maplink3</v>
      </c>
    </row>
    <row r="912" spans="1:51" x14ac:dyDescent="0.2">
      <c r="A912" s="102">
        <v>21016</v>
      </c>
      <c r="B912" s="103" t="s">
        <v>34</v>
      </c>
      <c r="C912" s="103" t="s">
        <v>34</v>
      </c>
      <c r="D912" s="103" t="s">
        <v>1927</v>
      </c>
      <c r="E912" s="103" t="s">
        <v>254</v>
      </c>
      <c r="F912" s="103">
        <v>35.427845330700002</v>
      </c>
      <c r="G912" s="103">
        <v>44.4071895955</v>
      </c>
      <c r="H912" s="102">
        <v>75</v>
      </c>
      <c r="I912" s="102">
        <v>450</v>
      </c>
      <c r="J912" s="103"/>
      <c r="K912" s="103"/>
      <c r="L912" s="103"/>
      <c r="M912" s="103">
        <v>75</v>
      </c>
      <c r="N912" s="103"/>
      <c r="O912" s="103"/>
      <c r="P912" s="103"/>
      <c r="Q912" s="103"/>
      <c r="R912" s="103"/>
      <c r="S912" s="103"/>
      <c r="T912" s="103"/>
      <c r="U912" s="103"/>
      <c r="V912" s="103"/>
      <c r="W912" s="103"/>
      <c r="X912" s="103"/>
      <c r="Y912" s="103"/>
      <c r="Z912" s="103"/>
      <c r="AA912" s="103"/>
      <c r="AB912" s="103"/>
      <c r="AC912" s="103"/>
      <c r="AD912" s="103"/>
      <c r="AE912" s="103"/>
      <c r="AF912" s="103"/>
      <c r="AG912" s="103"/>
      <c r="AH912" s="103"/>
      <c r="AI912" s="103"/>
      <c r="AJ912" s="103">
        <v>75</v>
      </c>
      <c r="AK912" s="103"/>
      <c r="AL912" s="103"/>
      <c r="AM912" s="103"/>
      <c r="AN912" s="103"/>
      <c r="AO912" s="103"/>
      <c r="AP912" s="103"/>
      <c r="AQ912" s="103"/>
      <c r="AR912" s="103"/>
      <c r="AS912" s="103"/>
      <c r="AT912" s="103">
        <v>75</v>
      </c>
      <c r="AU912" s="103"/>
      <c r="AV912" s="103"/>
      <c r="AW912" s="104" t="str">
        <f>HYPERLINK("http://www.openstreetmap.org/?mlat=35.4278&amp;mlon=44.4072&amp;zoom=12#map=12/35.4278/44.4072","Maplink1")</f>
        <v>Maplink1</v>
      </c>
      <c r="AX912" s="104" t="str">
        <f>HYPERLINK("https://www.google.iq/maps/search/+35.4278,44.4072/@35.4278,44.4072,14z?hl=en","Maplink2")</f>
        <v>Maplink2</v>
      </c>
      <c r="AY912" s="104" t="str">
        <f>HYPERLINK("http://www.bing.com/maps/?lvl=14&amp;sty=h&amp;cp=35.4278~44.4072&amp;sp=point.35.4278_44.4072","Maplink3")</f>
        <v>Maplink3</v>
      </c>
    </row>
    <row r="913" spans="1:51" x14ac:dyDescent="0.2">
      <c r="A913" s="102">
        <v>14567</v>
      </c>
      <c r="B913" s="103" t="s">
        <v>34</v>
      </c>
      <c r="C913" s="103" t="s">
        <v>34</v>
      </c>
      <c r="D913" s="103" t="s">
        <v>1928</v>
      </c>
      <c r="E913" s="103" t="s">
        <v>1929</v>
      </c>
      <c r="F913" s="103">
        <v>35.091749999999998</v>
      </c>
      <c r="G913" s="103">
        <v>44.053467400199999</v>
      </c>
      <c r="H913" s="102">
        <v>74</v>
      </c>
      <c r="I913" s="102">
        <v>444</v>
      </c>
      <c r="J913" s="103"/>
      <c r="K913" s="103"/>
      <c r="L913" s="103"/>
      <c r="M913" s="103">
        <v>62</v>
      </c>
      <c r="N913" s="103">
        <v>12</v>
      </c>
      <c r="O913" s="103"/>
      <c r="P913" s="103"/>
      <c r="Q913" s="103"/>
      <c r="R913" s="103"/>
      <c r="S913" s="103"/>
      <c r="T913" s="103"/>
      <c r="U913" s="103"/>
      <c r="V913" s="103"/>
      <c r="W913" s="103"/>
      <c r="X913" s="103"/>
      <c r="Y913" s="103"/>
      <c r="Z913" s="103"/>
      <c r="AA913" s="103"/>
      <c r="AB913" s="103"/>
      <c r="AC913" s="103">
        <v>74</v>
      </c>
      <c r="AD913" s="103"/>
      <c r="AE913" s="103"/>
      <c r="AF913" s="103"/>
      <c r="AG913" s="103"/>
      <c r="AH913" s="103"/>
      <c r="AI913" s="103"/>
      <c r="AJ913" s="103"/>
      <c r="AK913" s="103"/>
      <c r="AL913" s="103"/>
      <c r="AM913" s="103"/>
      <c r="AN913" s="103"/>
      <c r="AO913" s="103">
        <v>13</v>
      </c>
      <c r="AP913" s="103">
        <v>20</v>
      </c>
      <c r="AQ913" s="103">
        <v>21</v>
      </c>
      <c r="AR913" s="103">
        <v>20</v>
      </c>
      <c r="AS913" s="103"/>
      <c r="AT913" s="103"/>
      <c r="AU913" s="103"/>
      <c r="AV913" s="103"/>
      <c r="AW913" s="104" t="str">
        <f>HYPERLINK("http://www.openstreetmap.org/?mlat=35.0917&amp;mlon=44.0535&amp;zoom=12#map=12/35.0917/44.0535","Maplink1")</f>
        <v>Maplink1</v>
      </c>
      <c r="AX913" s="104" t="str">
        <f>HYPERLINK("https://www.google.iq/maps/search/+35.0917,44.0535/@35.0917,44.0535,14z?hl=en","Maplink2")</f>
        <v>Maplink2</v>
      </c>
      <c r="AY913" s="104" t="str">
        <f>HYPERLINK("http://www.bing.com/maps/?lvl=14&amp;sty=h&amp;cp=35.0917~44.0535&amp;sp=point.35.0917_44.0535","Maplink3")</f>
        <v>Maplink3</v>
      </c>
    </row>
    <row r="914" spans="1:51" x14ac:dyDescent="0.2">
      <c r="A914" s="102">
        <v>21702</v>
      </c>
      <c r="B914" s="103" t="s">
        <v>34</v>
      </c>
      <c r="C914" s="103" t="s">
        <v>34</v>
      </c>
      <c r="D914" s="103" t="s">
        <v>1921</v>
      </c>
      <c r="E914" s="103" t="s">
        <v>1922</v>
      </c>
      <c r="F914" s="103">
        <v>35.481445273699997</v>
      </c>
      <c r="G914" s="103">
        <v>44.418603880200003</v>
      </c>
      <c r="H914" s="102">
        <v>4000</v>
      </c>
      <c r="I914" s="102">
        <v>24000</v>
      </c>
      <c r="J914" s="103"/>
      <c r="K914" s="103"/>
      <c r="L914" s="103"/>
      <c r="M914" s="103">
        <v>4000</v>
      </c>
      <c r="N914" s="103"/>
      <c r="O914" s="103"/>
      <c r="P914" s="103"/>
      <c r="Q914" s="103"/>
      <c r="R914" s="103"/>
      <c r="S914" s="103"/>
      <c r="T914" s="103"/>
      <c r="U914" s="103"/>
      <c r="V914" s="103"/>
      <c r="W914" s="103"/>
      <c r="X914" s="103"/>
      <c r="Y914" s="103"/>
      <c r="Z914" s="103"/>
      <c r="AA914" s="103">
        <v>300</v>
      </c>
      <c r="AB914" s="103"/>
      <c r="AC914" s="103"/>
      <c r="AD914" s="103"/>
      <c r="AE914" s="103"/>
      <c r="AF914" s="103"/>
      <c r="AG914" s="103"/>
      <c r="AH914" s="103"/>
      <c r="AI914" s="103"/>
      <c r="AJ914" s="103">
        <v>3700</v>
      </c>
      <c r="AK914" s="103"/>
      <c r="AL914" s="103"/>
      <c r="AM914" s="103"/>
      <c r="AN914" s="103"/>
      <c r="AO914" s="103"/>
      <c r="AP914" s="103"/>
      <c r="AQ914" s="103"/>
      <c r="AR914" s="103"/>
      <c r="AS914" s="103"/>
      <c r="AT914" s="103">
        <v>4000</v>
      </c>
      <c r="AU914" s="103"/>
      <c r="AV914" s="103"/>
      <c r="AW914" s="104" t="str">
        <f>HYPERLINK("http://www.openstreetmap.org/?mlat=35.4814&amp;mlon=44.4186&amp;zoom=12#map=12/35.4814/44.4186","Maplink1")</f>
        <v>Maplink1</v>
      </c>
      <c r="AX914" s="104" t="str">
        <f>HYPERLINK("https://www.google.iq/maps/search/+35.4814,44.4186/@35.4814,44.4186,14z?hl=en","Maplink2")</f>
        <v>Maplink2</v>
      </c>
      <c r="AY914" s="104" t="str">
        <f>HYPERLINK("http://www.bing.com/maps/?lvl=14&amp;sty=h&amp;cp=35.4814~44.4186&amp;sp=point.35.4814_44.4186","Maplink3")</f>
        <v>Maplink3</v>
      </c>
    </row>
    <row r="915" spans="1:51" x14ac:dyDescent="0.2">
      <c r="A915" s="102">
        <v>31727</v>
      </c>
      <c r="B915" s="103" t="s">
        <v>34</v>
      </c>
      <c r="C915" s="103" t="s">
        <v>34</v>
      </c>
      <c r="D915" s="103" t="s">
        <v>1872</v>
      </c>
      <c r="E915" s="103" t="s">
        <v>1873</v>
      </c>
      <c r="F915" s="103">
        <v>35.4269064653</v>
      </c>
      <c r="G915" s="103">
        <v>44.421259770500001</v>
      </c>
      <c r="H915" s="102">
        <v>1100</v>
      </c>
      <c r="I915" s="102">
        <v>6600</v>
      </c>
      <c r="J915" s="103"/>
      <c r="K915" s="103"/>
      <c r="L915" s="103"/>
      <c r="M915" s="103">
        <v>1100</v>
      </c>
      <c r="N915" s="103"/>
      <c r="O915" s="103"/>
      <c r="P915" s="103"/>
      <c r="Q915" s="103"/>
      <c r="R915" s="103"/>
      <c r="S915" s="103"/>
      <c r="T915" s="103"/>
      <c r="U915" s="103"/>
      <c r="V915" s="103"/>
      <c r="W915" s="103"/>
      <c r="X915" s="103"/>
      <c r="Y915" s="103"/>
      <c r="Z915" s="103"/>
      <c r="AA915" s="103"/>
      <c r="AB915" s="103"/>
      <c r="AC915" s="103"/>
      <c r="AD915" s="103"/>
      <c r="AE915" s="103"/>
      <c r="AF915" s="103"/>
      <c r="AG915" s="103"/>
      <c r="AH915" s="103"/>
      <c r="AI915" s="103"/>
      <c r="AJ915" s="103">
        <v>1100</v>
      </c>
      <c r="AK915" s="103"/>
      <c r="AL915" s="103"/>
      <c r="AM915" s="103"/>
      <c r="AN915" s="103"/>
      <c r="AO915" s="103"/>
      <c r="AP915" s="103"/>
      <c r="AQ915" s="103"/>
      <c r="AR915" s="103"/>
      <c r="AS915" s="103"/>
      <c r="AT915" s="103">
        <v>1100</v>
      </c>
      <c r="AU915" s="103"/>
      <c r="AV915" s="103"/>
      <c r="AW915" s="104" t="str">
        <f>HYPERLINK("http://www.openstreetmap.org/?mlat=35.4269&amp;mlon=44.4213&amp;zoom=12#map=12/35.4269/44.4213","Maplink1")</f>
        <v>Maplink1</v>
      </c>
      <c r="AX915" s="104" t="str">
        <f>HYPERLINK("https://www.google.iq/maps/search/+35.4269,44.4213/@35.4269,44.4213,14z?hl=en","Maplink2")</f>
        <v>Maplink2</v>
      </c>
      <c r="AY915" s="104" t="str">
        <f>HYPERLINK("http://www.bing.com/maps/?lvl=14&amp;sty=h&amp;cp=35.4269~44.4213&amp;sp=point.35.4269_44.4213","Maplink3")</f>
        <v>Maplink3</v>
      </c>
    </row>
    <row r="916" spans="1:51" x14ac:dyDescent="0.2">
      <c r="A916" s="102">
        <v>31729</v>
      </c>
      <c r="B916" s="103" t="s">
        <v>34</v>
      </c>
      <c r="C916" s="103" t="s">
        <v>34</v>
      </c>
      <c r="D916" s="103" t="s">
        <v>1870</v>
      </c>
      <c r="E916" s="103" t="s">
        <v>1871</v>
      </c>
      <c r="F916" s="103">
        <v>35.406109199900001</v>
      </c>
      <c r="G916" s="103">
        <v>44.4136108605</v>
      </c>
      <c r="H916" s="102">
        <v>500</v>
      </c>
      <c r="I916" s="102">
        <v>3000</v>
      </c>
      <c r="J916" s="103"/>
      <c r="K916" s="103"/>
      <c r="L916" s="103"/>
      <c r="M916" s="103">
        <v>500</v>
      </c>
      <c r="N916" s="103"/>
      <c r="O916" s="103"/>
      <c r="P916" s="103"/>
      <c r="Q916" s="103"/>
      <c r="R916" s="103"/>
      <c r="S916" s="103"/>
      <c r="T916" s="103"/>
      <c r="U916" s="103"/>
      <c r="V916" s="103"/>
      <c r="W916" s="103"/>
      <c r="X916" s="103"/>
      <c r="Y916" s="103"/>
      <c r="Z916" s="103"/>
      <c r="AA916" s="103"/>
      <c r="AB916" s="103"/>
      <c r="AC916" s="103"/>
      <c r="AD916" s="103"/>
      <c r="AE916" s="103"/>
      <c r="AF916" s="103"/>
      <c r="AG916" s="103"/>
      <c r="AH916" s="103"/>
      <c r="AI916" s="103"/>
      <c r="AJ916" s="103">
        <v>500</v>
      </c>
      <c r="AK916" s="103"/>
      <c r="AL916" s="103"/>
      <c r="AM916" s="103"/>
      <c r="AN916" s="103"/>
      <c r="AO916" s="103"/>
      <c r="AP916" s="103"/>
      <c r="AQ916" s="103"/>
      <c r="AR916" s="103"/>
      <c r="AS916" s="103"/>
      <c r="AT916" s="103">
        <v>500</v>
      </c>
      <c r="AU916" s="103"/>
      <c r="AV916" s="103"/>
      <c r="AW916" s="104" t="str">
        <f>HYPERLINK("http://www.openstreetmap.org/?mlat=35.4061&amp;mlon=44.4136&amp;zoom=12#map=12/35.4061/44.4136","Maplink1")</f>
        <v>Maplink1</v>
      </c>
      <c r="AX916" s="104" t="str">
        <f>HYPERLINK("https://www.google.iq/maps/search/+35.4061,44.4136/@35.4061,44.4136,14z?hl=en","Maplink2")</f>
        <v>Maplink2</v>
      </c>
      <c r="AY916" s="104" t="str">
        <f>HYPERLINK("http://www.bing.com/maps/?lvl=14&amp;sty=h&amp;cp=35.4061~44.4136&amp;sp=point.35.4061_44.4136","Maplink3")</f>
        <v>Maplink3</v>
      </c>
    </row>
    <row r="917" spans="1:51" x14ac:dyDescent="0.2">
      <c r="A917" s="102">
        <v>15603</v>
      </c>
      <c r="B917" s="103" t="s">
        <v>34</v>
      </c>
      <c r="C917" s="103" t="s">
        <v>34</v>
      </c>
      <c r="D917" s="103" t="s">
        <v>1918</v>
      </c>
      <c r="E917" s="103" t="s">
        <v>1919</v>
      </c>
      <c r="F917" s="103">
        <v>35.397969429600003</v>
      </c>
      <c r="G917" s="103">
        <v>44.364338634100001</v>
      </c>
      <c r="H917" s="102">
        <v>100</v>
      </c>
      <c r="I917" s="102">
        <v>600</v>
      </c>
      <c r="J917" s="103"/>
      <c r="K917" s="103"/>
      <c r="L917" s="103"/>
      <c r="M917" s="103">
        <v>100</v>
      </c>
      <c r="N917" s="103"/>
      <c r="O917" s="103"/>
      <c r="P917" s="103"/>
      <c r="Q917" s="103"/>
      <c r="R917" s="103"/>
      <c r="S917" s="103"/>
      <c r="T917" s="103"/>
      <c r="U917" s="103"/>
      <c r="V917" s="103"/>
      <c r="W917" s="103"/>
      <c r="X917" s="103"/>
      <c r="Y917" s="103"/>
      <c r="Z917" s="103"/>
      <c r="AA917" s="103"/>
      <c r="AB917" s="103"/>
      <c r="AC917" s="103"/>
      <c r="AD917" s="103"/>
      <c r="AE917" s="103"/>
      <c r="AF917" s="103"/>
      <c r="AG917" s="103"/>
      <c r="AH917" s="103"/>
      <c r="AI917" s="103"/>
      <c r="AJ917" s="103">
        <v>100</v>
      </c>
      <c r="AK917" s="103"/>
      <c r="AL917" s="103"/>
      <c r="AM917" s="103"/>
      <c r="AN917" s="103"/>
      <c r="AO917" s="103"/>
      <c r="AP917" s="103"/>
      <c r="AQ917" s="103"/>
      <c r="AR917" s="103"/>
      <c r="AS917" s="103"/>
      <c r="AT917" s="103">
        <v>100</v>
      </c>
      <c r="AU917" s="103"/>
      <c r="AV917" s="103"/>
      <c r="AW917" s="104" t="str">
        <f>HYPERLINK("http://www.openstreetmap.org/?mlat=35.398&amp;mlon=44.3643&amp;zoom=12#map=12/35.398/44.3643","Maplink1")</f>
        <v>Maplink1</v>
      </c>
      <c r="AX917" s="104" t="str">
        <f>HYPERLINK("https://www.google.iq/maps/search/+35.398,44.3643/@35.398,44.3643,14z?hl=en","Maplink2")</f>
        <v>Maplink2</v>
      </c>
      <c r="AY917" s="104" t="str">
        <f>HYPERLINK("http://www.bing.com/maps/?lvl=14&amp;sty=h&amp;cp=35.398~44.3643&amp;sp=point.35.398_44.3643","Maplink3")</f>
        <v>Maplink3</v>
      </c>
    </row>
    <row r="918" spans="1:51" x14ac:dyDescent="0.2">
      <c r="A918" s="102">
        <v>15550</v>
      </c>
      <c r="B918" s="103" t="s">
        <v>34</v>
      </c>
      <c r="C918" s="103" t="s">
        <v>34</v>
      </c>
      <c r="D918" s="103" t="s">
        <v>1920</v>
      </c>
      <c r="E918" s="103" t="s">
        <v>1196</v>
      </c>
      <c r="F918" s="103">
        <v>35.429651104199998</v>
      </c>
      <c r="G918" s="103">
        <v>44.391836051699997</v>
      </c>
      <c r="H918" s="102">
        <v>75</v>
      </c>
      <c r="I918" s="102">
        <v>450</v>
      </c>
      <c r="J918" s="103"/>
      <c r="K918" s="103"/>
      <c r="L918" s="103"/>
      <c r="M918" s="103">
        <v>75</v>
      </c>
      <c r="N918" s="103"/>
      <c r="O918" s="103"/>
      <c r="P918" s="103"/>
      <c r="Q918" s="103"/>
      <c r="R918" s="103"/>
      <c r="S918" s="103"/>
      <c r="T918" s="103"/>
      <c r="U918" s="103"/>
      <c r="V918" s="103"/>
      <c r="W918" s="103"/>
      <c r="X918" s="103"/>
      <c r="Y918" s="103"/>
      <c r="Z918" s="103"/>
      <c r="AA918" s="103"/>
      <c r="AB918" s="103"/>
      <c r="AC918" s="103"/>
      <c r="AD918" s="103"/>
      <c r="AE918" s="103"/>
      <c r="AF918" s="103"/>
      <c r="AG918" s="103"/>
      <c r="AH918" s="103"/>
      <c r="AI918" s="103"/>
      <c r="AJ918" s="103">
        <v>75</v>
      </c>
      <c r="AK918" s="103"/>
      <c r="AL918" s="103"/>
      <c r="AM918" s="103"/>
      <c r="AN918" s="103"/>
      <c r="AO918" s="103"/>
      <c r="AP918" s="103"/>
      <c r="AQ918" s="103"/>
      <c r="AR918" s="103"/>
      <c r="AS918" s="103"/>
      <c r="AT918" s="103">
        <v>75</v>
      </c>
      <c r="AU918" s="103"/>
      <c r="AV918" s="103"/>
      <c r="AW918" s="104" t="str">
        <f>HYPERLINK("http://www.openstreetmap.org/?mlat=35.4297&amp;mlon=44.3918&amp;zoom=12#map=12/35.4297/44.3918","Maplink1")</f>
        <v>Maplink1</v>
      </c>
      <c r="AX918" s="104" t="str">
        <f>HYPERLINK("https://www.google.iq/maps/search/+35.4297,44.3918/@35.4297,44.3918,14z?hl=en","Maplink2")</f>
        <v>Maplink2</v>
      </c>
      <c r="AY918" s="104" t="str">
        <f>HYPERLINK("http://www.bing.com/maps/?lvl=14&amp;sty=h&amp;cp=35.4297~44.3918&amp;sp=point.35.4297_44.3918","Maplink3")</f>
        <v>Maplink3</v>
      </c>
    </row>
    <row r="919" spans="1:51" x14ac:dyDescent="0.2">
      <c r="A919" s="102">
        <v>14530</v>
      </c>
      <c r="B919" s="103" t="s">
        <v>34</v>
      </c>
      <c r="C919" s="103" t="s">
        <v>34</v>
      </c>
      <c r="D919" s="103" t="s">
        <v>1880</v>
      </c>
      <c r="E919" s="103" t="s">
        <v>1881</v>
      </c>
      <c r="F919" s="103">
        <v>35.436920007499999</v>
      </c>
      <c r="G919" s="103">
        <v>44.427631388800002</v>
      </c>
      <c r="H919" s="102">
        <v>4450</v>
      </c>
      <c r="I919" s="102">
        <v>26700</v>
      </c>
      <c r="J919" s="103"/>
      <c r="K919" s="103"/>
      <c r="L919" s="103"/>
      <c r="M919" s="103">
        <v>4450</v>
      </c>
      <c r="N919" s="103"/>
      <c r="O919" s="103"/>
      <c r="P919" s="103"/>
      <c r="Q919" s="103"/>
      <c r="R919" s="103"/>
      <c r="S919" s="103"/>
      <c r="T919" s="103"/>
      <c r="U919" s="103"/>
      <c r="V919" s="103"/>
      <c r="W919" s="103"/>
      <c r="X919" s="103"/>
      <c r="Y919" s="103"/>
      <c r="Z919" s="103"/>
      <c r="AA919" s="103"/>
      <c r="AB919" s="103"/>
      <c r="AC919" s="103"/>
      <c r="AD919" s="103"/>
      <c r="AE919" s="103"/>
      <c r="AF919" s="103"/>
      <c r="AG919" s="103"/>
      <c r="AH919" s="103"/>
      <c r="AI919" s="103"/>
      <c r="AJ919" s="103">
        <v>4450</v>
      </c>
      <c r="AK919" s="103"/>
      <c r="AL919" s="103"/>
      <c r="AM919" s="103"/>
      <c r="AN919" s="103"/>
      <c r="AO919" s="103"/>
      <c r="AP919" s="103"/>
      <c r="AQ919" s="103"/>
      <c r="AR919" s="103"/>
      <c r="AS919" s="103"/>
      <c r="AT919" s="103">
        <v>4450</v>
      </c>
      <c r="AU919" s="103"/>
      <c r="AV919" s="103"/>
      <c r="AW919" s="104" t="str">
        <f>HYPERLINK("http://www.openstreetmap.org/?mlat=35.4369&amp;mlon=44.4276&amp;zoom=12#map=12/35.4369/44.4276","Maplink1")</f>
        <v>Maplink1</v>
      </c>
      <c r="AX919" s="104" t="str">
        <f>HYPERLINK("https://www.google.iq/maps/search/+35.4369,44.4276/@35.4369,44.4276,14z?hl=en","Maplink2")</f>
        <v>Maplink2</v>
      </c>
      <c r="AY919" s="104" t="str">
        <f>HYPERLINK("http://www.bing.com/maps/?lvl=14&amp;sty=h&amp;cp=35.4369~44.4276&amp;sp=point.35.4369_44.4276","Maplink3")</f>
        <v>Maplink3</v>
      </c>
    </row>
    <row r="920" spans="1:51" x14ac:dyDescent="0.2">
      <c r="A920" s="102">
        <v>14984</v>
      </c>
      <c r="B920" s="103" t="s">
        <v>34</v>
      </c>
      <c r="C920" s="103" t="s">
        <v>34</v>
      </c>
      <c r="D920" s="103" t="s">
        <v>1914</v>
      </c>
      <c r="E920" s="103" t="s">
        <v>1915</v>
      </c>
      <c r="F920" s="103">
        <v>35.4223311983</v>
      </c>
      <c r="G920" s="103">
        <v>44.352494799299997</v>
      </c>
      <c r="H920" s="102">
        <v>150</v>
      </c>
      <c r="I920" s="102">
        <v>900</v>
      </c>
      <c r="J920" s="103"/>
      <c r="K920" s="103"/>
      <c r="L920" s="103"/>
      <c r="M920" s="103">
        <v>150</v>
      </c>
      <c r="N920" s="103"/>
      <c r="O920" s="103"/>
      <c r="P920" s="103"/>
      <c r="Q920" s="103"/>
      <c r="R920" s="103"/>
      <c r="S920" s="103"/>
      <c r="T920" s="103"/>
      <c r="U920" s="103"/>
      <c r="V920" s="103"/>
      <c r="W920" s="103"/>
      <c r="X920" s="103"/>
      <c r="Y920" s="103"/>
      <c r="Z920" s="103"/>
      <c r="AA920" s="103"/>
      <c r="AB920" s="103"/>
      <c r="AC920" s="103"/>
      <c r="AD920" s="103"/>
      <c r="AE920" s="103"/>
      <c r="AF920" s="103"/>
      <c r="AG920" s="103"/>
      <c r="AH920" s="103"/>
      <c r="AI920" s="103"/>
      <c r="AJ920" s="103">
        <v>150</v>
      </c>
      <c r="AK920" s="103"/>
      <c r="AL920" s="103"/>
      <c r="AM920" s="103"/>
      <c r="AN920" s="103"/>
      <c r="AO920" s="103"/>
      <c r="AP920" s="103"/>
      <c r="AQ920" s="103"/>
      <c r="AR920" s="103"/>
      <c r="AS920" s="103"/>
      <c r="AT920" s="103">
        <v>150</v>
      </c>
      <c r="AU920" s="103"/>
      <c r="AV920" s="103"/>
      <c r="AW920" s="104" t="str">
        <f>HYPERLINK("http://www.openstreetmap.org/?mlat=35.4223&amp;mlon=44.3525&amp;zoom=12#map=12/35.4223/44.3525","Maplink1")</f>
        <v>Maplink1</v>
      </c>
      <c r="AX920" s="104" t="str">
        <f>HYPERLINK("https://www.google.iq/maps/search/+35.4223,44.3525/@35.4223,44.3525,14z?hl=en","Maplink2")</f>
        <v>Maplink2</v>
      </c>
      <c r="AY920" s="104" t="str">
        <f>HYPERLINK("http://www.bing.com/maps/?lvl=14&amp;sty=h&amp;cp=35.4223~44.3525&amp;sp=point.35.4223_44.3525","Maplink3")</f>
        <v>Maplink3</v>
      </c>
    </row>
    <row r="921" spans="1:51" x14ac:dyDescent="0.2">
      <c r="A921" s="102">
        <v>23634</v>
      </c>
      <c r="B921" s="103" t="s">
        <v>34</v>
      </c>
      <c r="C921" s="103" t="s">
        <v>34</v>
      </c>
      <c r="D921" s="103" t="s">
        <v>1916</v>
      </c>
      <c r="E921" s="103" t="s">
        <v>1917</v>
      </c>
      <c r="F921" s="103">
        <v>35.4456806353</v>
      </c>
      <c r="G921" s="103">
        <v>44.405374536899998</v>
      </c>
      <c r="H921" s="102">
        <v>250</v>
      </c>
      <c r="I921" s="102">
        <v>1500</v>
      </c>
      <c r="J921" s="103"/>
      <c r="K921" s="103"/>
      <c r="L921" s="103"/>
      <c r="M921" s="103">
        <v>250</v>
      </c>
      <c r="N921" s="103"/>
      <c r="O921" s="103"/>
      <c r="P921" s="103"/>
      <c r="Q921" s="103"/>
      <c r="R921" s="103"/>
      <c r="S921" s="103"/>
      <c r="T921" s="103"/>
      <c r="U921" s="103"/>
      <c r="V921" s="103"/>
      <c r="W921" s="103"/>
      <c r="X921" s="103"/>
      <c r="Y921" s="103"/>
      <c r="Z921" s="103"/>
      <c r="AA921" s="103"/>
      <c r="AB921" s="103"/>
      <c r="AC921" s="103"/>
      <c r="AD921" s="103"/>
      <c r="AE921" s="103"/>
      <c r="AF921" s="103"/>
      <c r="AG921" s="103"/>
      <c r="AH921" s="103"/>
      <c r="AI921" s="103"/>
      <c r="AJ921" s="103">
        <v>250</v>
      </c>
      <c r="AK921" s="103"/>
      <c r="AL921" s="103"/>
      <c r="AM921" s="103"/>
      <c r="AN921" s="103"/>
      <c r="AO921" s="103"/>
      <c r="AP921" s="103"/>
      <c r="AQ921" s="103"/>
      <c r="AR921" s="103"/>
      <c r="AS921" s="103"/>
      <c r="AT921" s="103">
        <v>250</v>
      </c>
      <c r="AU921" s="103"/>
      <c r="AV921" s="103"/>
      <c r="AW921" s="104" t="str">
        <f>HYPERLINK("http://www.openstreetmap.org/?mlat=35.4457&amp;mlon=44.4054&amp;zoom=12#map=12/35.4457/44.4054","Maplink1")</f>
        <v>Maplink1</v>
      </c>
      <c r="AX921" s="104" t="str">
        <f>HYPERLINK("https://www.google.iq/maps/search/+35.4457,44.4054/@35.4457,44.4054,14z?hl=en","Maplink2")</f>
        <v>Maplink2</v>
      </c>
      <c r="AY921" s="104" t="str">
        <f>HYPERLINK("http://www.bing.com/maps/?lvl=14&amp;sty=h&amp;cp=35.4457~44.4054&amp;sp=point.35.4457_44.4054","Maplink3")</f>
        <v>Maplink3</v>
      </c>
    </row>
    <row r="922" spans="1:51" x14ac:dyDescent="0.2">
      <c r="A922" s="102">
        <v>14520</v>
      </c>
      <c r="B922" s="103" t="s">
        <v>34</v>
      </c>
      <c r="C922" s="103" t="s">
        <v>34</v>
      </c>
      <c r="D922" s="103" t="s">
        <v>1906</v>
      </c>
      <c r="E922" s="103" t="s">
        <v>1907</v>
      </c>
      <c r="F922" s="103">
        <v>35.489559999999997</v>
      </c>
      <c r="G922" s="103">
        <v>44.159152249500004</v>
      </c>
      <c r="H922" s="102">
        <v>120</v>
      </c>
      <c r="I922" s="102">
        <v>720</v>
      </c>
      <c r="J922" s="103"/>
      <c r="K922" s="103"/>
      <c r="L922" s="103"/>
      <c r="M922" s="103">
        <v>120</v>
      </c>
      <c r="N922" s="103"/>
      <c r="O922" s="103"/>
      <c r="P922" s="103"/>
      <c r="Q922" s="103"/>
      <c r="R922" s="103"/>
      <c r="S922" s="103"/>
      <c r="T922" s="103"/>
      <c r="U922" s="103"/>
      <c r="V922" s="103"/>
      <c r="W922" s="103"/>
      <c r="X922" s="103"/>
      <c r="Y922" s="103"/>
      <c r="Z922" s="103"/>
      <c r="AA922" s="103"/>
      <c r="AB922" s="103"/>
      <c r="AC922" s="103">
        <v>120</v>
      </c>
      <c r="AD922" s="103"/>
      <c r="AE922" s="103"/>
      <c r="AF922" s="103"/>
      <c r="AG922" s="103"/>
      <c r="AH922" s="103"/>
      <c r="AI922" s="103"/>
      <c r="AJ922" s="103"/>
      <c r="AK922" s="103"/>
      <c r="AL922" s="103"/>
      <c r="AM922" s="103"/>
      <c r="AN922" s="103"/>
      <c r="AO922" s="103"/>
      <c r="AP922" s="103">
        <v>120</v>
      </c>
      <c r="AQ922" s="103"/>
      <c r="AR922" s="103"/>
      <c r="AS922" s="103"/>
      <c r="AT922" s="103"/>
      <c r="AU922" s="103"/>
      <c r="AV922" s="103"/>
      <c r="AW922" s="104" t="str">
        <f>HYPERLINK("http://www.openstreetmap.org/?mlat=35.4896&amp;mlon=44.1592&amp;zoom=12#map=12/35.4896/44.1592","Maplink1")</f>
        <v>Maplink1</v>
      </c>
      <c r="AX922" s="104" t="str">
        <f>HYPERLINK("https://www.google.iq/maps/search/+35.4896,44.1592/@35.4896,44.1592,14z?hl=en","Maplink2")</f>
        <v>Maplink2</v>
      </c>
      <c r="AY922" s="104" t="str">
        <f>HYPERLINK("http://www.bing.com/maps/?lvl=14&amp;sty=h&amp;cp=35.4896~44.1592&amp;sp=point.35.4896_44.1592","Maplink3")</f>
        <v>Maplink3</v>
      </c>
    </row>
    <row r="923" spans="1:51" x14ac:dyDescent="0.2">
      <c r="A923" s="102">
        <v>22289</v>
      </c>
      <c r="B923" s="103" t="s">
        <v>34</v>
      </c>
      <c r="C923" s="103" t="s">
        <v>34</v>
      </c>
      <c r="D923" s="103" t="s">
        <v>1902</v>
      </c>
      <c r="E923" s="103" t="s">
        <v>1903</v>
      </c>
      <c r="F923" s="103">
        <v>35.476173520300001</v>
      </c>
      <c r="G923" s="103">
        <v>44.362057115100001</v>
      </c>
      <c r="H923" s="102">
        <v>1125</v>
      </c>
      <c r="I923" s="102">
        <v>6750</v>
      </c>
      <c r="J923" s="103"/>
      <c r="K923" s="103"/>
      <c r="L923" s="103"/>
      <c r="M923" s="103">
        <v>1125</v>
      </c>
      <c r="N923" s="103"/>
      <c r="O923" s="103"/>
      <c r="P923" s="103"/>
      <c r="Q923" s="103"/>
      <c r="R923" s="103"/>
      <c r="S923" s="103"/>
      <c r="T923" s="103"/>
      <c r="U923" s="103"/>
      <c r="V923" s="103"/>
      <c r="W923" s="103"/>
      <c r="X923" s="103"/>
      <c r="Y923" s="103"/>
      <c r="Z923" s="103"/>
      <c r="AA923" s="103">
        <v>125</v>
      </c>
      <c r="AB923" s="103"/>
      <c r="AC923" s="103"/>
      <c r="AD923" s="103"/>
      <c r="AE923" s="103"/>
      <c r="AF923" s="103"/>
      <c r="AG923" s="103"/>
      <c r="AH923" s="103"/>
      <c r="AI923" s="103"/>
      <c r="AJ923" s="103">
        <v>1000</v>
      </c>
      <c r="AK923" s="103"/>
      <c r="AL923" s="103"/>
      <c r="AM923" s="103"/>
      <c r="AN923" s="103"/>
      <c r="AO923" s="103"/>
      <c r="AP923" s="103"/>
      <c r="AQ923" s="103"/>
      <c r="AR923" s="103"/>
      <c r="AS923" s="103"/>
      <c r="AT923" s="103">
        <v>1125</v>
      </c>
      <c r="AU923" s="103"/>
      <c r="AV923" s="103"/>
      <c r="AW923" s="104" t="str">
        <f>HYPERLINK("http://www.openstreetmap.org/?mlat=35.4762&amp;mlon=44.3621&amp;zoom=12#map=12/35.4762/44.3621","Maplink1")</f>
        <v>Maplink1</v>
      </c>
      <c r="AX923" s="104" t="str">
        <f>HYPERLINK("https://www.google.iq/maps/search/+35.4762,44.3621/@35.4762,44.3621,14z?hl=en","Maplink2")</f>
        <v>Maplink2</v>
      </c>
      <c r="AY923" s="104" t="str">
        <f>HYPERLINK("http://www.bing.com/maps/?lvl=14&amp;sty=h&amp;cp=35.4762~44.3621&amp;sp=point.35.4762_44.3621","Maplink3")</f>
        <v>Maplink3</v>
      </c>
    </row>
    <row r="924" spans="1:51" x14ac:dyDescent="0.2">
      <c r="A924" s="102">
        <v>24807</v>
      </c>
      <c r="B924" s="103" t="s">
        <v>34</v>
      </c>
      <c r="C924" s="103" t="s">
        <v>34</v>
      </c>
      <c r="D924" s="103" t="s">
        <v>1904</v>
      </c>
      <c r="E924" s="103" t="s">
        <v>1905</v>
      </c>
      <c r="F924" s="103">
        <v>35.473541242400003</v>
      </c>
      <c r="G924" s="103">
        <v>44.387761656000002</v>
      </c>
      <c r="H924" s="102">
        <v>50</v>
      </c>
      <c r="I924" s="102">
        <v>300</v>
      </c>
      <c r="J924" s="103"/>
      <c r="K924" s="103"/>
      <c r="L924" s="103"/>
      <c r="M924" s="103">
        <v>50</v>
      </c>
      <c r="N924" s="103"/>
      <c r="O924" s="103"/>
      <c r="P924" s="103"/>
      <c r="Q924" s="103"/>
      <c r="R924" s="103"/>
      <c r="S924" s="103"/>
      <c r="T924" s="103"/>
      <c r="U924" s="103"/>
      <c r="V924" s="103"/>
      <c r="W924" s="103"/>
      <c r="X924" s="103"/>
      <c r="Y924" s="103"/>
      <c r="Z924" s="103"/>
      <c r="AA924" s="103"/>
      <c r="AB924" s="103"/>
      <c r="AC924" s="103"/>
      <c r="AD924" s="103"/>
      <c r="AE924" s="103"/>
      <c r="AF924" s="103"/>
      <c r="AG924" s="103"/>
      <c r="AH924" s="103"/>
      <c r="AI924" s="103"/>
      <c r="AJ924" s="103">
        <v>50</v>
      </c>
      <c r="AK924" s="103"/>
      <c r="AL924" s="103"/>
      <c r="AM924" s="103"/>
      <c r="AN924" s="103"/>
      <c r="AO924" s="103"/>
      <c r="AP924" s="103"/>
      <c r="AQ924" s="103"/>
      <c r="AR924" s="103"/>
      <c r="AS924" s="103"/>
      <c r="AT924" s="103">
        <v>50</v>
      </c>
      <c r="AU924" s="103"/>
      <c r="AV924" s="103"/>
      <c r="AW924" s="104" t="str">
        <f>HYPERLINK("http://www.openstreetmap.org/?mlat=35.4735&amp;mlon=44.3878&amp;zoom=12#map=12/35.4735/44.3878","Maplink1")</f>
        <v>Maplink1</v>
      </c>
      <c r="AX924" s="104" t="str">
        <f>HYPERLINK("https://www.google.iq/maps/search/+35.4735,44.3878/@35.4735,44.3878,14z?hl=en","Maplink2")</f>
        <v>Maplink2</v>
      </c>
      <c r="AY924" s="104" t="str">
        <f>HYPERLINK("http://www.bing.com/maps/?lvl=14&amp;sty=h&amp;cp=35.4735~44.3878&amp;sp=point.35.4735_44.3878","Maplink3")</f>
        <v>Maplink3</v>
      </c>
    </row>
    <row r="925" spans="1:51" x14ac:dyDescent="0.2">
      <c r="A925" s="102">
        <v>15679</v>
      </c>
      <c r="B925" s="103" t="s">
        <v>34</v>
      </c>
      <c r="C925" s="103" t="s">
        <v>34</v>
      </c>
      <c r="D925" s="103" t="s">
        <v>1932</v>
      </c>
      <c r="E925" s="103" t="s">
        <v>1933</v>
      </c>
      <c r="F925" s="103">
        <v>35.391075623699997</v>
      </c>
      <c r="G925" s="103">
        <v>44.381545809999999</v>
      </c>
      <c r="H925" s="102">
        <v>75</v>
      </c>
      <c r="I925" s="102">
        <v>450</v>
      </c>
      <c r="J925" s="103"/>
      <c r="K925" s="103"/>
      <c r="L925" s="103"/>
      <c r="M925" s="103">
        <v>75</v>
      </c>
      <c r="N925" s="103"/>
      <c r="O925" s="103"/>
      <c r="P925" s="103"/>
      <c r="Q925" s="103"/>
      <c r="R925" s="103"/>
      <c r="S925" s="103"/>
      <c r="T925" s="103"/>
      <c r="U925" s="103"/>
      <c r="V925" s="103"/>
      <c r="W925" s="103"/>
      <c r="X925" s="103"/>
      <c r="Y925" s="103"/>
      <c r="Z925" s="103"/>
      <c r="AA925" s="103"/>
      <c r="AB925" s="103"/>
      <c r="AC925" s="103"/>
      <c r="AD925" s="103"/>
      <c r="AE925" s="103"/>
      <c r="AF925" s="103"/>
      <c r="AG925" s="103"/>
      <c r="AH925" s="103"/>
      <c r="AI925" s="103"/>
      <c r="AJ925" s="103">
        <v>75</v>
      </c>
      <c r="AK925" s="103"/>
      <c r="AL925" s="103"/>
      <c r="AM925" s="103"/>
      <c r="AN925" s="103"/>
      <c r="AO925" s="103"/>
      <c r="AP925" s="103"/>
      <c r="AQ925" s="103"/>
      <c r="AR925" s="103"/>
      <c r="AS925" s="103"/>
      <c r="AT925" s="103">
        <v>75</v>
      </c>
      <c r="AU925" s="103"/>
      <c r="AV925" s="103"/>
      <c r="AW925" s="104" t="str">
        <f>HYPERLINK("http://www.openstreetmap.org/?mlat=35.3911&amp;mlon=44.3815&amp;zoom=12#map=12/35.3911/44.3815","Maplink1")</f>
        <v>Maplink1</v>
      </c>
      <c r="AX925" s="104" t="str">
        <f>HYPERLINK("https://www.google.iq/maps/search/+35.3911,44.3815/@35.3911,44.3815,14z?hl=en","Maplink2")</f>
        <v>Maplink2</v>
      </c>
      <c r="AY925" s="104" t="str">
        <f>HYPERLINK("http://www.bing.com/maps/?lvl=14&amp;sty=h&amp;cp=35.3911~44.3815&amp;sp=point.35.3911_44.3815","Maplink3")</f>
        <v>Maplink3</v>
      </c>
    </row>
    <row r="926" spans="1:51" x14ac:dyDescent="0.2">
      <c r="A926" s="102">
        <v>15650</v>
      </c>
      <c r="B926" s="103" t="s">
        <v>34</v>
      </c>
      <c r="C926" s="103" t="s">
        <v>34</v>
      </c>
      <c r="D926" s="103" t="s">
        <v>1892</v>
      </c>
      <c r="E926" s="103" t="s">
        <v>1893</v>
      </c>
      <c r="F926" s="103">
        <v>35.416348712500003</v>
      </c>
      <c r="G926" s="103">
        <v>44.395339999999997</v>
      </c>
      <c r="H926" s="102">
        <v>75</v>
      </c>
      <c r="I926" s="102">
        <v>450</v>
      </c>
      <c r="J926" s="103"/>
      <c r="K926" s="103"/>
      <c r="L926" s="103"/>
      <c r="M926" s="103">
        <v>75</v>
      </c>
      <c r="N926" s="103"/>
      <c r="O926" s="103"/>
      <c r="P926" s="103"/>
      <c r="Q926" s="103"/>
      <c r="R926" s="103"/>
      <c r="S926" s="103"/>
      <c r="T926" s="103"/>
      <c r="U926" s="103"/>
      <c r="V926" s="103"/>
      <c r="W926" s="103"/>
      <c r="X926" s="103"/>
      <c r="Y926" s="103"/>
      <c r="Z926" s="103"/>
      <c r="AA926" s="103"/>
      <c r="AB926" s="103"/>
      <c r="AC926" s="103"/>
      <c r="AD926" s="103"/>
      <c r="AE926" s="103"/>
      <c r="AF926" s="103"/>
      <c r="AG926" s="103"/>
      <c r="AH926" s="103"/>
      <c r="AI926" s="103"/>
      <c r="AJ926" s="103">
        <v>75</v>
      </c>
      <c r="AK926" s="103"/>
      <c r="AL926" s="103"/>
      <c r="AM926" s="103"/>
      <c r="AN926" s="103"/>
      <c r="AO926" s="103"/>
      <c r="AP926" s="103"/>
      <c r="AQ926" s="103"/>
      <c r="AR926" s="103"/>
      <c r="AS926" s="103"/>
      <c r="AT926" s="103">
        <v>75</v>
      </c>
      <c r="AU926" s="103"/>
      <c r="AV926" s="103"/>
      <c r="AW926" s="104" t="str">
        <f>HYPERLINK("http://www.openstreetmap.org/?mlat=35.4163&amp;mlon=44.3953&amp;zoom=12#map=12/35.4163/44.3953","Maplink1")</f>
        <v>Maplink1</v>
      </c>
      <c r="AX926" s="104" t="str">
        <f>HYPERLINK("https://www.google.iq/maps/search/+35.4163,44.3953/@35.4163,44.3953,14z?hl=en","Maplink2")</f>
        <v>Maplink2</v>
      </c>
      <c r="AY926" s="104" t="str">
        <f>HYPERLINK("http://www.bing.com/maps/?lvl=14&amp;sty=h&amp;cp=35.4163~44.3953&amp;sp=point.35.4163_44.3953","Maplink3")</f>
        <v>Maplink3</v>
      </c>
    </row>
    <row r="927" spans="1:51" x14ac:dyDescent="0.2">
      <c r="A927" s="102">
        <v>24142</v>
      </c>
      <c r="B927" s="103" t="s">
        <v>34</v>
      </c>
      <c r="C927" s="103" t="s">
        <v>34</v>
      </c>
      <c r="D927" s="103" t="s">
        <v>1894</v>
      </c>
      <c r="E927" s="103" t="s">
        <v>1895</v>
      </c>
      <c r="F927" s="103">
        <v>35.488773069300002</v>
      </c>
      <c r="G927" s="103">
        <v>44.3711684031</v>
      </c>
      <c r="H927" s="102">
        <v>50</v>
      </c>
      <c r="I927" s="102">
        <v>300</v>
      </c>
      <c r="J927" s="103"/>
      <c r="K927" s="103"/>
      <c r="L927" s="103"/>
      <c r="M927" s="103">
        <v>50</v>
      </c>
      <c r="N927" s="103"/>
      <c r="O927" s="103"/>
      <c r="P927" s="103"/>
      <c r="Q927" s="103"/>
      <c r="R927" s="103"/>
      <c r="S927" s="103"/>
      <c r="T927" s="103"/>
      <c r="U927" s="103"/>
      <c r="V927" s="103"/>
      <c r="W927" s="103"/>
      <c r="X927" s="103"/>
      <c r="Y927" s="103"/>
      <c r="Z927" s="103"/>
      <c r="AA927" s="103">
        <v>30</v>
      </c>
      <c r="AB927" s="103"/>
      <c r="AC927" s="103"/>
      <c r="AD927" s="103"/>
      <c r="AE927" s="103"/>
      <c r="AF927" s="103"/>
      <c r="AG927" s="103"/>
      <c r="AH927" s="103"/>
      <c r="AI927" s="103"/>
      <c r="AJ927" s="103">
        <v>20</v>
      </c>
      <c r="AK927" s="103"/>
      <c r="AL927" s="103"/>
      <c r="AM927" s="103"/>
      <c r="AN927" s="103"/>
      <c r="AO927" s="103"/>
      <c r="AP927" s="103"/>
      <c r="AQ927" s="103"/>
      <c r="AR927" s="103"/>
      <c r="AS927" s="103"/>
      <c r="AT927" s="103">
        <v>50</v>
      </c>
      <c r="AU927" s="103"/>
      <c r="AV927" s="103"/>
      <c r="AW927" s="104" t="str">
        <f>HYPERLINK("http://www.openstreetmap.org/?mlat=35.4888&amp;mlon=44.3712&amp;zoom=12#map=12/35.4888/44.3712","Maplink1")</f>
        <v>Maplink1</v>
      </c>
      <c r="AX927" s="104" t="str">
        <f>HYPERLINK("https://www.google.iq/maps/search/+35.4888,44.3712/@35.4888,44.3712,14z?hl=en","Maplink2")</f>
        <v>Maplink2</v>
      </c>
      <c r="AY927" s="104" t="str">
        <f>HYPERLINK("http://www.bing.com/maps/?lvl=14&amp;sty=h&amp;cp=35.4888~44.3712&amp;sp=point.35.4888_44.3712","Maplink3")</f>
        <v>Maplink3</v>
      </c>
    </row>
    <row r="928" spans="1:51" x14ac:dyDescent="0.2">
      <c r="A928" s="102">
        <v>24084</v>
      </c>
      <c r="B928" s="103" t="s">
        <v>34</v>
      </c>
      <c r="C928" s="103" t="s">
        <v>34</v>
      </c>
      <c r="D928" s="103" t="s">
        <v>1888</v>
      </c>
      <c r="E928" s="103" t="s">
        <v>1889</v>
      </c>
      <c r="F928" s="103">
        <v>35.410123721700003</v>
      </c>
      <c r="G928" s="103">
        <v>44.3873049404</v>
      </c>
      <c r="H928" s="102">
        <v>250</v>
      </c>
      <c r="I928" s="102">
        <v>1500</v>
      </c>
      <c r="J928" s="103"/>
      <c r="K928" s="103"/>
      <c r="L928" s="103"/>
      <c r="M928" s="103">
        <v>250</v>
      </c>
      <c r="N928" s="103"/>
      <c r="O928" s="103"/>
      <c r="P928" s="103"/>
      <c r="Q928" s="103"/>
      <c r="R928" s="103"/>
      <c r="S928" s="103"/>
      <c r="T928" s="103"/>
      <c r="U928" s="103"/>
      <c r="V928" s="103"/>
      <c r="W928" s="103"/>
      <c r="X928" s="103"/>
      <c r="Y928" s="103"/>
      <c r="Z928" s="103"/>
      <c r="AA928" s="103"/>
      <c r="AB928" s="103"/>
      <c r="AC928" s="103"/>
      <c r="AD928" s="103"/>
      <c r="AE928" s="103"/>
      <c r="AF928" s="103"/>
      <c r="AG928" s="103"/>
      <c r="AH928" s="103"/>
      <c r="AI928" s="103"/>
      <c r="AJ928" s="103">
        <v>250</v>
      </c>
      <c r="AK928" s="103"/>
      <c r="AL928" s="103"/>
      <c r="AM928" s="103"/>
      <c r="AN928" s="103"/>
      <c r="AO928" s="103"/>
      <c r="AP928" s="103"/>
      <c r="AQ928" s="103"/>
      <c r="AR928" s="103"/>
      <c r="AS928" s="103"/>
      <c r="AT928" s="103">
        <v>250</v>
      </c>
      <c r="AU928" s="103"/>
      <c r="AV928" s="103"/>
      <c r="AW928" s="104" t="str">
        <f>HYPERLINK("http://www.openstreetmap.org/?mlat=35.4101&amp;mlon=44.3873&amp;zoom=12#map=12/35.4101/44.3873","Maplink1")</f>
        <v>Maplink1</v>
      </c>
      <c r="AX928" s="104" t="str">
        <f>HYPERLINK("https://www.google.iq/maps/search/+35.4101,44.3873/@35.4101,44.3873,14z?hl=en","Maplink2")</f>
        <v>Maplink2</v>
      </c>
      <c r="AY928" s="104" t="str">
        <f>HYPERLINK("http://www.bing.com/maps/?lvl=14&amp;sty=h&amp;cp=35.4101~44.3873&amp;sp=point.35.4101_44.3873","Maplink3")</f>
        <v>Maplink3</v>
      </c>
    </row>
    <row r="929" spans="1:51" x14ac:dyDescent="0.2">
      <c r="A929" s="102">
        <v>25556</v>
      </c>
      <c r="B929" s="103" t="s">
        <v>34</v>
      </c>
      <c r="C929" s="103" t="s">
        <v>34</v>
      </c>
      <c r="D929" s="103" t="s">
        <v>1874</v>
      </c>
      <c r="E929" s="103" t="s">
        <v>1875</v>
      </c>
      <c r="F929" s="103">
        <v>35.473398661899999</v>
      </c>
      <c r="G929" s="103">
        <v>44.416254822699997</v>
      </c>
      <c r="H929" s="102">
        <v>3000</v>
      </c>
      <c r="I929" s="102">
        <v>18000</v>
      </c>
      <c r="J929" s="103"/>
      <c r="K929" s="103"/>
      <c r="L929" s="103"/>
      <c r="M929" s="103">
        <v>3000</v>
      </c>
      <c r="N929" s="103"/>
      <c r="O929" s="103"/>
      <c r="P929" s="103"/>
      <c r="Q929" s="103"/>
      <c r="R929" s="103"/>
      <c r="S929" s="103"/>
      <c r="T929" s="103"/>
      <c r="U929" s="103"/>
      <c r="V929" s="103"/>
      <c r="W929" s="103"/>
      <c r="X929" s="103"/>
      <c r="Y929" s="103"/>
      <c r="Z929" s="103"/>
      <c r="AA929" s="103">
        <v>200</v>
      </c>
      <c r="AB929" s="103"/>
      <c r="AC929" s="103"/>
      <c r="AD929" s="103"/>
      <c r="AE929" s="103"/>
      <c r="AF929" s="103"/>
      <c r="AG929" s="103"/>
      <c r="AH929" s="103"/>
      <c r="AI929" s="103"/>
      <c r="AJ929" s="103">
        <v>2800</v>
      </c>
      <c r="AK929" s="103"/>
      <c r="AL929" s="103"/>
      <c r="AM929" s="103"/>
      <c r="AN929" s="103"/>
      <c r="AO929" s="103"/>
      <c r="AP929" s="103"/>
      <c r="AQ929" s="103"/>
      <c r="AR929" s="103"/>
      <c r="AS929" s="103"/>
      <c r="AT929" s="103">
        <v>3000</v>
      </c>
      <c r="AU929" s="103"/>
      <c r="AV929" s="103"/>
      <c r="AW929" s="104" t="str">
        <f>HYPERLINK("http://www.openstreetmap.org/?mlat=35.4734&amp;mlon=44.4163&amp;zoom=12#map=12/35.4734/44.4163","Maplink1")</f>
        <v>Maplink1</v>
      </c>
      <c r="AX929" s="104" t="str">
        <f>HYPERLINK("https://www.google.iq/maps/search/+35.4734,44.4163/@35.4734,44.4163,14z?hl=en","Maplink2")</f>
        <v>Maplink2</v>
      </c>
      <c r="AY929" s="104" t="str">
        <f>HYPERLINK("http://www.bing.com/maps/?lvl=14&amp;sty=h&amp;cp=35.4734~44.4163&amp;sp=point.35.4734_44.4163","Maplink3")</f>
        <v>Maplink3</v>
      </c>
    </row>
    <row r="930" spans="1:51" x14ac:dyDescent="0.2">
      <c r="A930" s="102">
        <v>15694</v>
      </c>
      <c r="B930" s="103" t="s">
        <v>34</v>
      </c>
      <c r="C930" s="103" t="s">
        <v>34</v>
      </c>
      <c r="D930" s="103" t="s">
        <v>1876</v>
      </c>
      <c r="E930" s="103" t="s">
        <v>1877</v>
      </c>
      <c r="F930" s="103">
        <v>35.463182013100003</v>
      </c>
      <c r="G930" s="103">
        <v>44.395708596299997</v>
      </c>
      <c r="H930" s="102">
        <v>200</v>
      </c>
      <c r="I930" s="102">
        <v>1200</v>
      </c>
      <c r="J930" s="103"/>
      <c r="K930" s="103"/>
      <c r="L930" s="103"/>
      <c r="M930" s="103">
        <v>200</v>
      </c>
      <c r="N930" s="103"/>
      <c r="O930" s="103"/>
      <c r="P930" s="103"/>
      <c r="Q930" s="103"/>
      <c r="R930" s="103"/>
      <c r="S930" s="103"/>
      <c r="T930" s="103"/>
      <c r="U930" s="103"/>
      <c r="V930" s="103"/>
      <c r="W930" s="103"/>
      <c r="X930" s="103"/>
      <c r="Y930" s="103"/>
      <c r="Z930" s="103"/>
      <c r="AA930" s="103"/>
      <c r="AB930" s="103"/>
      <c r="AC930" s="103"/>
      <c r="AD930" s="103"/>
      <c r="AE930" s="103"/>
      <c r="AF930" s="103"/>
      <c r="AG930" s="103"/>
      <c r="AH930" s="103"/>
      <c r="AI930" s="103"/>
      <c r="AJ930" s="103">
        <v>200</v>
      </c>
      <c r="AK930" s="103"/>
      <c r="AL930" s="103"/>
      <c r="AM930" s="103"/>
      <c r="AN930" s="103"/>
      <c r="AO930" s="103"/>
      <c r="AP930" s="103"/>
      <c r="AQ930" s="103"/>
      <c r="AR930" s="103"/>
      <c r="AS930" s="103"/>
      <c r="AT930" s="103">
        <v>200</v>
      </c>
      <c r="AU930" s="103"/>
      <c r="AV930" s="103"/>
      <c r="AW930" s="104" t="str">
        <f>HYPERLINK("http://www.openstreetmap.org/?mlat=35.4632&amp;mlon=44.3957&amp;zoom=12#map=12/35.4632/44.3957","Maplink1")</f>
        <v>Maplink1</v>
      </c>
      <c r="AX930" s="104" t="str">
        <f>HYPERLINK("https://www.google.iq/maps/search/+35.4632,44.3957/@35.4632,44.3957,14z?hl=en","Maplink2")</f>
        <v>Maplink2</v>
      </c>
      <c r="AY930" s="104" t="str">
        <f>HYPERLINK("http://www.bing.com/maps/?lvl=14&amp;sty=h&amp;cp=35.4632~44.3957&amp;sp=point.35.4632_44.3957","Maplink3")</f>
        <v>Maplink3</v>
      </c>
    </row>
    <row r="931" spans="1:51" x14ac:dyDescent="0.2">
      <c r="A931" s="102">
        <v>14618</v>
      </c>
      <c r="B931" s="103" t="s">
        <v>34</v>
      </c>
      <c r="C931" s="103" t="s">
        <v>34</v>
      </c>
      <c r="D931" s="103" t="s">
        <v>1878</v>
      </c>
      <c r="E931" s="103" t="s">
        <v>1879</v>
      </c>
      <c r="F931" s="103">
        <v>35.408000000000001</v>
      </c>
      <c r="G931" s="103">
        <v>44.112699999999997</v>
      </c>
      <c r="H931" s="102">
        <v>9</v>
      </c>
      <c r="I931" s="102">
        <v>54</v>
      </c>
      <c r="J931" s="103"/>
      <c r="K931" s="103"/>
      <c r="L931" s="103"/>
      <c r="M931" s="103">
        <v>9</v>
      </c>
      <c r="N931" s="103"/>
      <c r="O931" s="103"/>
      <c r="P931" s="103"/>
      <c r="Q931" s="103"/>
      <c r="R931" s="103"/>
      <c r="S931" s="103"/>
      <c r="T931" s="103"/>
      <c r="U931" s="103"/>
      <c r="V931" s="103"/>
      <c r="W931" s="103"/>
      <c r="X931" s="103"/>
      <c r="Y931" s="103"/>
      <c r="Z931" s="103"/>
      <c r="AA931" s="103"/>
      <c r="AB931" s="103"/>
      <c r="AC931" s="103">
        <v>9</v>
      </c>
      <c r="AD931" s="103"/>
      <c r="AE931" s="103"/>
      <c r="AF931" s="103"/>
      <c r="AG931" s="103"/>
      <c r="AH931" s="103"/>
      <c r="AI931" s="103"/>
      <c r="AJ931" s="103"/>
      <c r="AK931" s="103"/>
      <c r="AL931" s="103"/>
      <c r="AM931" s="103"/>
      <c r="AN931" s="103"/>
      <c r="AO931" s="103"/>
      <c r="AP931" s="103">
        <v>9</v>
      </c>
      <c r="AQ931" s="103"/>
      <c r="AR931" s="103"/>
      <c r="AS931" s="103"/>
      <c r="AT931" s="103"/>
      <c r="AU931" s="103"/>
      <c r="AV931" s="103"/>
      <c r="AW931" s="104" t="str">
        <f>HYPERLINK("http://www.openstreetmap.org/?mlat=35.408&amp;mlon=44.1127&amp;zoom=12#map=12/35.408/44.1127","Maplink1")</f>
        <v>Maplink1</v>
      </c>
      <c r="AX931" s="104" t="str">
        <f>HYPERLINK("https://www.google.iq/maps/search/+35.408,44.1127/@35.408,44.1127,14z?hl=en","Maplink2")</f>
        <v>Maplink2</v>
      </c>
      <c r="AY931" s="104" t="str">
        <f>HYPERLINK("http://www.bing.com/maps/?lvl=14&amp;sty=h&amp;cp=35.408~44.1127&amp;sp=point.35.408_44.1127","Maplink3")</f>
        <v>Maplink3</v>
      </c>
    </row>
    <row r="932" spans="1:51" x14ac:dyDescent="0.2">
      <c r="A932" s="102">
        <v>14736</v>
      </c>
      <c r="B932" s="103" t="s">
        <v>34</v>
      </c>
      <c r="C932" s="103" t="s">
        <v>34</v>
      </c>
      <c r="D932" s="103" t="s">
        <v>1882</v>
      </c>
      <c r="E932" s="103" t="s">
        <v>1883</v>
      </c>
      <c r="F932" s="103">
        <v>35.429160000000003</v>
      </c>
      <c r="G932" s="103">
        <v>44.169559460499997</v>
      </c>
      <c r="H932" s="102">
        <v>4</v>
      </c>
      <c r="I932" s="102">
        <v>24</v>
      </c>
      <c r="J932" s="103"/>
      <c r="K932" s="103"/>
      <c r="L932" s="103"/>
      <c r="M932" s="103">
        <v>2</v>
      </c>
      <c r="N932" s="103">
        <v>2</v>
      </c>
      <c r="O932" s="103"/>
      <c r="P932" s="103"/>
      <c r="Q932" s="103"/>
      <c r="R932" s="103"/>
      <c r="S932" s="103"/>
      <c r="T932" s="103"/>
      <c r="U932" s="103"/>
      <c r="V932" s="103"/>
      <c r="W932" s="103"/>
      <c r="X932" s="103"/>
      <c r="Y932" s="103"/>
      <c r="Z932" s="103"/>
      <c r="AA932" s="103"/>
      <c r="AB932" s="103"/>
      <c r="AC932" s="103">
        <v>4</v>
      </c>
      <c r="AD932" s="103"/>
      <c r="AE932" s="103"/>
      <c r="AF932" s="103"/>
      <c r="AG932" s="103"/>
      <c r="AH932" s="103"/>
      <c r="AI932" s="103"/>
      <c r="AJ932" s="103"/>
      <c r="AK932" s="103"/>
      <c r="AL932" s="103"/>
      <c r="AM932" s="103"/>
      <c r="AN932" s="103"/>
      <c r="AO932" s="103"/>
      <c r="AP932" s="103">
        <v>4</v>
      </c>
      <c r="AQ932" s="103"/>
      <c r="AR932" s="103"/>
      <c r="AS932" s="103"/>
      <c r="AT932" s="103"/>
      <c r="AU932" s="103"/>
      <c r="AV932" s="103"/>
      <c r="AW932" s="104" t="str">
        <f>HYPERLINK("http://www.openstreetmap.org/?mlat=35.4292&amp;mlon=44.1696&amp;zoom=12#map=12/35.4292/44.1696","Maplink1")</f>
        <v>Maplink1</v>
      </c>
      <c r="AX932" s="104" t="str">
        <f>HYPERLINK("https://www.google.iq/maps/search/+35.4292,44.1696/@35.4292,44.1696,14z?hl=en","Maplink2")</f>
        <v>Maplink2</v>
      </c>
      <c r="AY932" s="104" t="str">
        <f>HYPERLINK("http://www.bing.com/maps/?lvl=14&amp;sty=h&amp;cp=35.4292~44.1696&amp;sp=point.35.4292_44.1696","Maplink3")</f>
        <v>Maplink3</v>
      </c>
    </row>
    <row r="933" spans="1:51" x14ac:dyDescent="0.2">
      <c r="A933" s="102">
        <v>25708</v>
      </c>
      <c r="B933" s="103" t="s">
        <v>34</v>
      </c>
      <c r="C933" s="103" t="s">
        <v>34</v>
      </c>
      <c r="D933" s="103" t="s">
        <v>1884</v>
      </c>
      <c r="E933" s="103" t="s">
        <v>1885</v>
      </c>
      <c r="F933" s="103">
        <v>35.455242565399999</v>
      </c>
      <c r="G933" s="103">
        <v>44.173849367700001</v>
      </c>
      <c r="H933" s="102">
        <v>85</v>
      </c>
      <c r="I933" s="102">
        <v>510</v>
      </c>
      <c r="J933" s="103"/>
      <c r="K933" s="103"/>
      <c r="L933" s="103"/>
      <c r="M933" s="103">
        <v>85</v>
      </c>
      <c r="N933" s="103"/>
      <c r="O933" s="103"/>
      <c r="P933" s="103"/>
      <c r="Q933" s="103"/>
      <c r="R933" s="103"/>
      <c r="S933" s="103"/>
      <c r="T933" s="103"/>
      <c r="U933" s="103"/>
      <c r="V933" s="103"/>
      <c r="W933" s="103"/>
      <c r="X933" s="103"/>
      <c r="Y933" s="103"/>
      <c r="Z933" s="103"/>
      <c r="AA933" s="103"/>
      <c r="AB933" s="103"/>
      <c r="AC933" s="103">
        <v>85</v>
      </c>
      <c r="AD933" s="103"/>
      <c r="AE933" s="103"/>
      <c r="AF933" s="103"/>
      <c r="AG933" s="103"/>
      <c r="AH933" s="103"/>
      <c r="AI933" s="103"/>
      <c r="AJ933" s="103"/>
      <c r="AK933" s="103"/>
      <c r="AL933" s="103"/>
      <c r="AM933" s="103"/>
      <c r="AN933" s="103"/>
      <c r="AO933" s="103"/>
      <c r="AP933" s="103">
        <v>85</v>
      </c>
      <c r="AQ933" s="103"/>
      <c r="AR933" s="103"/>
      <c r="AS933" s="103"/>
      <c r="AT933" s="103"/>
      <c r="AU933" s="103"/>
      <c r="AV933" s="103"/>
      <c r="AW933" s="104" t="str">
        <f>HYPERLINK("http://www.openstreetmap.org/?mlat=35.4552&amp;mlon=44.1738&amp;zoom=12#map=12/35.4552/44.1738","Maplink1")</f>
        <v>Maplink1</v>
      </c>
      <c r="AX933" s="104" t="str">
        <f>HYPERLINK("https://www.google.iq/maps/search/+35.4552,44.1738/@35.4552,44.1738,14z?hl=en","Maplink2")</f>
        <v>Maplink2</v>
      </c>
      <c r="AY933" s="104" t="str">
        <f>HYPERLINK("http://www.bing.com/maps/?lvl=14&amp;sty=h&amp;cp=35.4552~44.1738&amp;sp=point.35.4552_44.1738","Maplink3")</f>
        <v>Maplink3</v>
      </c>
    </row>
    <row r="934" spans="1:51" x14ac:dyDescent="0.2">
      <c r="A934" s="102">
        <v>14829</v>
      </c>
      <c r="B934" s="103" t="s">
        <v>34</v>
      </c>
      <c r="C934" s="103" t="s">
        <v>34</v>
      </c>
      <c r="D934" s="103" t="s">
        <v>1886</v>
      </c>
      <c r="E934" s="103" t="s">
        <v>1887</v>
      </c>
      <c r="F934" s="103">
        <v>35.428199999999997</v>
      </c>
      <c r="G934" s="103">
        <v>43.991999999999997</v>
      </c>
      <c r="H934" s="102">
        <v>50</v>
      </c>
      <c r="I934" s="102">
        <v>300</v>
      </c>
      <c r="J934" s="103"/>
      <c r="K934" s="103"/>
      <c r="L934" s="103"/>
      <c r="M934" s="103">
        <v>30</v>
      </c>
      <c r="N934" s="103"/>
      <c r="O934" s="103">
        <v>20</v>
      </c>
      <c r="P934" s="103"/>
      <c r="Q934" s="103"/>
      <c r="R934" s="103"/>
      <c r="S934" s="103"/>
      <c r="T934" s="103"/>
      <c r="U934" s="103"/>
      <c r="V934" s="103"/>
      <c r="W934" s="103"/>
      <c r="X934" s="103"/>
      <c r="Y934" s="103"/>
      <c r="Z934" s="103"/>
      <c r="AA934" s="103"/>
      <c r="AB934" s="103"/>
      <c r="AC934" s="103">
        <v>50</v>
      </c>
      <c r="AD934" s="103"/>
      <c r="AE934" s="103"/>
      <c r="AF934" s="103"/>
      <c r="AG934" s="103"/>
      <c r="AH934" s="103"/>
      <c r="AI934" s="103"/>
      <c r="AJ934" s="103"/>
      <c r="AK934" s="103"/>
      <c r="AL934" s="103"/>
      <c r="AM934" s="103"/>
      <c r="AN934" s="103">
        <v>10</v>
      </c>
      <c r="AO934" s="103"/>
      <c r="AP934" s="103">
        <v>40</v>
      </c>
      <c r="AQ934" s="103"/>
      <c r="AR934" s="103"/>
      <c r="AS934" s="103"/>
      <c r="AT934" s="103"/>
      <c r="AU934" s="103"/>
      <c r="AV934" s="103"/>
      <c r="AW934" s="104" t="str">
        <f>HYPERLINK("http://www.openstreetmap.org/?mlat=35.4282&amp;mlon=43.992&amp;zoom=12#map=12/35.4282/43.992","Maplink1")</f>
        <v>Maplink1</v>
      </c>
      <c r="AX934" s="104" t="str">
        <f>HYPERLINK("https://www.google.iq/maps/search/+35.4282,43.992/@35.4282,43.992,14z?hl=en","Maplink2")</f>
        <v>Maplink2</v>
      </c>
      <c r="AY934" s="104" t="str">
        <f>HYPERLINK("http://www.bing.com/maps/?lvl=14&amp;sty=h&amp;cp=35.4282~43.992&amp;sp=point.35.4282_43.992","Maplink3")</f>
        <v>Maplink3</v>
      </c>
    </row>
    <row r="935" spans="1:51" x14ac:dyDescent="0.2">
      <c r="A935" s="102">
        <v>15363</v>
      </c>
      <c r="B935" s="103" t="s">
        <v>34</v>
      </c>
      <c r="C935" s="103" t="s">
        <v>34</v>
      </c>
      <c r="D935" s="103" t="s">
        <v>1866</v>
      </c>
      <c r="E935" s="103" t="s">
        <v>1867</v>
      </c>
      <c r="F935" s="103">
        <v>35.472867999999998</v>
      </c>
      <c r="G935" s="103">
        <v>44.148337342200001</v>
      </c>
      <c r="H935" s="102">
        <v>78</v>
      </c>
      <c r="I935" s="102">
        <v>468</v>
      </c>
      <c r="J935" s="103"/>
      <c r="K935" s="103"/>
      <c r="L935" s="103"/>
      <c r="M935" s="103">
        <v>78</v>
      </c>
      <c r="N935" s="103"/>
      <c r="O935" s="103"/>
      <c r="P935" s="103"/>
      <c r="Q935" s="103"/>
      <c r="R935" s="103"/>
      <c r="S935" s="103"/>
      <c r="T935" s="103"/>
      <c r="U935" s="103"/>
      <c r="V935" s="103"/>
      <c r="W935" s="103"/>
      <c r="X935" s="103"/>
      <c r="Y935" s="103"/>
      <c r="Z935" s="103"/>
      <c r="AA935" s="103"/>
      <c r="AB935" s="103"/>
      <c r="AC935" s="103">
        <v>78</v>
      </c>
      <c r="AD935" s="103"/>
      <c r="AE935" s="103"/>
      <c r="AF935" s="103"/>
      <c r="AG935" s="103"/>
      <c r="AH935" s="103"/>
      <c r="AI935" s="103"/>
      <c r="AJ935" s="103"/>
      <c r="AK935" s="103"/>
      <c r="AL935" s="103"/>
      <c r="AM935" s="103"/>
      <c r="AN935" s="103"/>
      <c r="AO935" s="103"/>
      <c r="AP935" s="103">
        <v>78</v>
      </c>
      <c r="AQ935" s="103"/>
      <c r="AR935" s="103"/>
      <c r="AS935" s="103"/>
      <c r="AT935" s="103"/>
      <c r="AU935" s="103"/>
      <c r="AV935" s="103"/>
      <c r="AW935" s="104" t="str">
        <f>HYPERLINK("http://www.openstreetmap.org/?mlat=35.4729&amp;mlon=44.1483&amp;zoom=12#map=12/35.4729/44.1483","Maplink1")</f>
        <v>Maplink1</v>
      </c>
      <c r="AX935" s="104" t="str">
        <f>HYPERLINK("https://www.google.iq/maps/search/+35.4729,44.1483/@35.4729,44.1483,14z?hl=en","Maplink2")</f>
        <v>Maplink2</v>
      </c>
      <c r="AY935" s="104" t="str">
        <f>HYPERLINK("http://www.bing.com/maps/?lvl=14&amp;sty=h&amp;cp=35.4729~44.1483&amp;sp=point.35.4729_44.1483","Maplink3")</f>
        <v>Maplink3</v>
      </c>
    </row>
    <row r="936" spans="1:51" x14ac:dyDescent="0.2">
      <c r="A936" s="102">
        <v>15582</v>
      </c>
      <c r="B936" s="103" t="s">
        <v>34</v>
      </c>
      <c r="C936" s="103" t="s">
        <v>34</v>
      </c>
      <c r="D936" s="103" t="s">
        <v>1868</v>
      </c>
      <c r="E936" s="103" t="s">
        <v>1869</v>
      </c>
      <c r="F936" s="103">
        <v>35.480287893499998</v>
      </c>
      <c r="G936" s="103">
        <v>44.3859447464</v>
      </c>
      <c r="H936" s="102">
        <v>250</v>
      </c>
      <c r="I936" s="102">
        <v>1500</v>
      </c>
      <c r="J936" s="103"/>
      <c r="K936" s="103"/>
      <c r="L936" s="103"/>
      <c r="M936" s="103">
        <v>250</v>
      </c>
      <c r="N936" s="103"/>
      <c r="O936" s="103"/>
      <c r="P936" s="103"/>
      <c r="Q936" s="103"/>
      <c r="R936" s="103"/>
      <c r="S936" s="103"/>
      <c r="T936" s="103"/>
      <c r="U936" s="103"/>
      <c r="V936" s="103"/>
      <c r="W936" s="103"/>
      <c r="X936" s="103"/>
      <c r="Y936" s="103"/>
      <c r="Z936" s="103"/>
      <c r="AA936" s="103"/>
      <c r="AB936" s="103"/>
      <c r="AC936" s="103"/>
      <c r="AD936" s="103"/>
      <c r="AE936" s="103"/>
      <c r="AF936" s="103"/>
      <c r="AG936" s="103"/>
      <c r="AH936" s="103"/>
      <c r="AI936" s="103"/>
      <c r="AJ936" s="103">
        <v>250</v>
      </c>
      <c r="AK936" s="103"/>
      <c r="AL936" s="103"/>
      <c r="AM936" s="103"/>
      <c r="AN936" s="103"/>
      <c r="AO936" s="103"/>
      <c r="AP936" s="103"/>
      <c r="AQ936" s="103"/>
      <c r="AR936" s="103"/>
      <c r="AS936" s="103"/>
      <c r="AT936" s="103">
        <v>250</v>
      </c>
      <c r="AU936" s="103"/>
      <c r="AV936" s="103"/>
      <c r="AW936" s="104" t="str">
        <f>HYPERLINK("http://www.openstreetmap.org/?mlat=35.4803&amp;mlon=44.3859&amp;zoom=12#map=12/35.4803/44.3859","Maplink1")</f>
        <v>Maplink1</v>
      </c>
      <c r="AX936" s="104" t="str">
        <f>HYPERLINK("https://www.google.iq/maps/search/+35.4803,44.3859/@35.4803,44.3859,14z?hl=en","Maplink2")</f>
        <v>Maplink2</v>
      </c>
      <c r="AY936" s="104" t="str">
        <f>HYPERLINK("http://www.bing.com/maps/?lvl=14&amp;sty=h&amp;cp=35.4803~44.3859&amp;sp=point.35.4803_44.3859","Maplink3")</f>
        <v>Maplink3</v>
      </c>
    </row>
    <row r="937" spans="1:51" x14ac:dyDescent="0.2">
      <c r="A937" s="102">
        <v>15522</v>
      </c>
      <c r="B937" s="103" t="s">
        <v>34</v>
      </c>
      <c r="C937" s="103" t="s">
        <v>34</v>
      </c>
      <c r="D937" s="103" t="s">
        <v>1890</v>
      </c>
      <c r="E937" s="103" t="s">
        <v>1891</v>
      </c>
      <c r="F937" s="103">
        <v>35.735184229200001</v>
      </c>
      <c r="G937" s="103">
        <v>44.487031852400001</v>
      </c>
      <c r="H937" s="102">
        <v>150</v>
      </c>
      <c r="I937" s="102">
        <v>900</v>
      </c>
      <c r="J937" s="103"/>
      <c r="K937" s="103"/>
      <c r="L937" s="103"/>
      <c r="M937" s="103">
        <v>150</v>
      </c>
      <c r="N937" s="103"/>
      <c r="O937" s="103"/>
      <c r="P937" s="103"/>
      <c r="Q937" s="103"/>
      <c r="R937" s="103"/>
      <c r="S937" s="103"/>
      <c r="T937" s="103"/>
      <c r="U937" s="103"/>
      <c r="V937" s="103"/>
      <c r="W937" s="103"/>
      <c r="X937" s="103"/>
      <c r="Y937" s="103"/>
      <c r="Z937" s="103"/>
      <c r="AA937" s="103">
        <v>75</v>
      </c>
      <c r="AB937" s="103"/>
      <c r="AC937" s="103"/>
      <c r="AD937" s="103"/>
      <c r="AE937" s="103"/>
      <c r="AF937" s="103"/>
      <c r="AG937" s="103"/>
      <c r="AH937" s="103"/>
      <c r="AI937" s="103"/>
      <c r="AJ937" s="103">
        <v>75</v>
      </c>
      <c r="AK937" s="103"/>
      <c r="AL937" s="103"/>
      <c r="AM937" s="103"/>
      <c r="AN937" s="103"/>
      <c r="AO937" s="103"/>
      <c r="AP937" s="103"/>
      <c r="AQ937" s="103"/>
      <c r="AR937" s="103"/>
      <c r="AS937" s="103"/>
      <c r="AT937" s="103">
        <v>150</v>
      </c>
      <c r="AU937" s="103"/>
      <c r="AV937" s="103"/>
      <c r="AW937" s="104" t="str">
        <f>HYPERLINK("http://www.openstreetmap.org/?mlat=35.7352&amp;mlon=44.487&amp;zoom=12#map=12/35.7352/44.487","Maplink1")</f>
        <v>Maplink1</v>
      </c>
      <c r="AX937" s="104" t="str">
        <f>HYPERLINK("https://www.google.iq/maps/search/+35.7352,44.487/@35.7352,44.487,14z?hl=en","Maplink2")</f>
        <v>Maplink2</v>
      </c>
      <c r="AY937" s="104" t="str">
        <f>HYPERLINK("http://www.bing.com/maps/?lvl=14&amp;sty=h&amp;cp=35.7352~44.487&amp;sp=point.35.7352_44.487","Maplink3")</f>
        <v>Maplink3</v>
      </c>
    </row>
    <row r="938" spans="1:51" x14ac:dyDescent="0.2">
      <c r="A938" s="102">
        <v>15584</v>
      </c>
      <c r="B938" s="103" t="s">
        <v>34</v>
      </c>
      <c r="C938" s="103" t="s">
        <v>34</v>
      </c>
      <c r="D938" s="103" t="s">
        <v>1925</v>
      </c>
      <c r="E938" s="103" t="s">
        <v>1926</v>
      </c>
      <c r="F938" s="103">
        <v>35.435250627000002</v>
      </c>
      <c r="G938" s="103">
        <v>44.3814867022</v>
      </c>
      <c r="H938" s="102">
        <v>100</v>
      </c>
      <c r="I938" s="102">
        <v>600</v>
      </c>
      <c r="J938" s="103"/>
      <c r="K938" s="103"/>
      <c r="L938" s="103"/>
      <c r="M938" s="103">
        <v>100</v>
      </c>
      <c r="N938" s="103"/>
      <c r="O938" s="103"/>
      <c r="P938" s="103"/>
      <c r="Q938" s="103"/>
      <c r="R938" s="103"/>
      <c r="S938" s="103"/>
      <c r="T938" s="103"/>
      <c r="U938" s="103"/>
      <c r="V938" s="103"/>
      <c r="W938" s="103"/>
      <c r="X938" s="103"/>
      <c r="Y938" s="103"/>
      <c r="Z938" s="103"/>
      <c r="AA938" s="103"/>
      <c r="AB938" s="103"/>
      <c r="AC938" s="103"/>
      <c r="AD938" s="103"/>
      <c r="AE938" s="103"/>
      <c r="AF938" s="103"/>
      <c r="AG938" s="103"/>
      <c r="AH938" s="103"/>
      <c r="AI938" s="103"/>
      <c r="AJ938" s="103">
        <v>100</v>
      </c>
      <c r="AK938" s="103"/>
      <c r="AL938" s="103"/>
      <c r="AM938" s="103"/>
      <c r="AN938" s="103"/>
      <c r="AO938" s="103"/>
      <c r="AP938" s="103"/>
      <c r="AQ938" s="103"/>
      <c r="AR938" s="103"/>
      <c r="AS938" s="103"/>
      <c r="AT938" s="103">
        <v>100</v>
      </c>
      <c r="AU938" s="103"/>
      <c r="AV938" s="103"/>
      <c r="AW938" s="104" t="str">
        <f>HYPERLINK("http://www.openstreetmap.org/?mlat=35.4353&amp;mlon=44.3815&amp;zoom=12#map=12/35.4353/44.3815","Maplink1")</f>
        <v>Maplink1</v>
      </c>
      <c r="AX938" s="104" t="str">
        <f>HYPERLINK("https://www.google.iq/maps/search/+35.4353,44.3815/@35.4353,44.3815,14z?hl=en","Maplink2")</f>
        <v>Maplink2</v>
      </c>
      <c r="AY938" s="104" t="str">
        <f>HYPERLINK("http://www.bing.com/maps/?lvl=14&amp;sty=h&amp;cp=35.4353~44.3815&amp;sp=point.35.4353_44.3815","Maplink3")</f>
        <v>Maplink3</v>
      </c>
    </row>
    <row r="939" spans="1:51" x14ac:dyDescent="0.2">
      <c r="A939" s="102">
        <v>14930</v>
      </c>
      <c r="B939" s="103" t="s">
        <v>34</v>
      </c>
      <c r="C939" s="103" t="s">
        <v>34</v>
      </c>
      <c r="D939" s="103" t="s">
        <v>1934</v>
      </c>
      <c r="E939" s="103" t="s">
        <v>1935</v>
      </c>
      <c r="F939" s="103">
        <v>35.126800000000003</v>
      </c>
      <c r="G939" s="103">
        <v>44.014877399100001</v>
      </c>
      <c r="H939" s="102">
        <v>16</v>
      </c>
      <c r="I939" s="102">
        <v>96</v>
      </c>
      <c r="J939" s="103"/>
      <c r="K939" s="103"/>
      <c r="L939" s="103"/>
      <c r="M939" s="103">
        <v>16</v>
      </c>
      <c r="N939" s="103"/>
      <c r="O939" s="103"/>
      <c r="P939" s="103"/>
      <c r="Q939" s="103"/>
      <c r="R939" s="103"/>
      <c r="S939" s="103"/>
      <c r="T939" s="103"/>
      <c r="U939" s="103"/>
      <c r="V939" s="103"/>
      <c r="W939" s="103"/>
      <c r="X939" s="103"/>
      <c r="Y939" s="103"/>
      <c r="Z939" s="103"/>
      <c r="AA939" s="103"/>
      <c r="AB939" s="103"/>
      <c r="AC939" s="103">
        <v>15</v>
      </c>
      <c r="AD939" s="103"/>
      <c r="AE939" s="103"/>
      <c r="AF939" s="103"/>
      <c r="AG939" s="103"/>
      <c r="AH939" s="103"/>
      <c r="AI939" s="103">
        <v>1</v>
      </c>
      <c r="AJ939" s="103"/>
      <c r="AK939" s="103"/>
      <c r="AL939" s="103"/>
      <c r="AM939" s="103"/>
      <c r="AN939" s="103"/>
      <c r="AO939" s="103"/>
      <c r="AP939" s="103">
        <v>3</v>
      </c>
      <c r="AQ939" s="103">
        <v>7</v>
      </c>
      <c r="AR939" s="103">
        <v>6</v>
      </c>
      <c r="AS939" s="103"/>
      <c r="AT939" s="103"/>
      <c r="AU939" s="103"/>
      <c r="AV939" s="103"/>
      <c r="AW939" s="104" t="str">
        <f>HYPERLINK("http://www.openstreetmap.org/?mlat=35.1268&amp;mlon=44.0149&amp;zoom=12#map=12/35.1268/44.0149","Maplink1")</f>
        <v>Maplink1</v>
      </c>
      <c r="AX939" s="104" t="str">
        <f>HYPERLINK("https://www.google.iq/maps/search/+35.1268,44.0149/@35.1268,44.0149,14z?hl=en","Maplink2")</f>
        <v>Maplink2</v>
      </c>
      <c r="AY939" s="104" t="str">
        <f>HYPERLINK("http://www.bing.com/maps/?lvl=14&amp;sty=h&amp;cp=35.1268~44.0149&amp;sp=point.35.1268_44.0149","Maplink3")</f>
        <v>Maplink3</v>
      </c>
    </row>
    <row r="940" spans="1:51" x14ac:dyDescent="0.2">
      <c r="A940" s="102">
        <v>33858</v>
      </c>
      <c r="B940" s="103" t="s">
        <v>35</v>
      </c>
      <c r="C940" s="103" t="s">
        <v>98</v>
      </c>
      <c r="D940" s="103" t="s">
        <v>1989</v>
      </c>
      <c r="E940" s="103" t="s">
        <v>1990</v>
      </c>
      <c r="F940" s="103">
        <v>35.959345499999998</v>
      </c>
      <c r="G940" s="103">
        <v>41.490460499999998</v>
      </c>
      <c r="H940" s="102">
        <v>256</v>
      </c>
      <c r="I940" s="102">
        <v>1536</v>
      </c>
      <c r="J940" s="103">
        <v>20</v>
      </c>
      <c r="K940" s="103"/>
      <c r="L940" s="103"/>
      <c r="M940" s="103">
        <v>236</v>
      </c>
      <c r="N940" s="103"/>
      <c r="O940" s="103"/>
      <c r="P940" s="103"/>
      <c r="Q940" s="103"/>
      <c r="R940" s="103"/>
      <c r="S940" s="103"/>
      <c r="T940" s="103"/>
      <c r="U940" s="103"/>
      <c r="V940" s="103"/>
      <c r="W940" s="103"/>
      <c r="X940" s="103"/>
      <c r="Y940" s="103"/>
      <c r="Z940" s="103"/>
      <c r="AA940" s="103"/>
      <c r="AB940" s="103"/>
      <c r="AC940" s="103"/>
      <c r="AD940" s="103"/>
      <c r="AE940" s="103"/>
      <c r="AF940" s="103"/>
      <c r="AG940" s="103">
        <v>256</v>
      </c>
      <c r="AH940" s="103"/>
      <c r="AI940" s="103"/>
      <c r="AJ940" s="103"/>
      <c r="AK940" s="103"/>
      <c r="AL940" s="103"/>
      <c r="AM940" s="103"/>
      <c r="AN940" s="103"/>
      <c r="AO940" s="103"/>
      <c r="AP940" s="103"/>
      <c r="AQ940" s="103"/>
      <c r="AR940" s="103"/>
      <c r="AS940" s="103">
        <v>256</v>
      </c>
      <c r="AT940" s="103"/>
      <c r="AU940" s="103"/>
      <c r="AV940" s="103"/>
      <c r="AW940" s="104" t="str">
        <f>HYPERLINK("http://www.openstreetmap.org/?mlat=35.9593&amp;mlon=41.4905&amp;zoom=12#map=12/35.9593/41.4905","Maplink1")</f>
        <v>Maplink1</v>
      </c>
      <c r="AX940" s="104" t="str">
        <f>HYPERLINK("https://www.google.iq/maps/search/+35.9593,41.4905/@35.9593,41.4905,14z?hl=en","Maplink2")</f>
        <v>Maplink2</v>
      </c>
      <c r="AY940" s="104" t="str">
        <f>HYPERLINK("http://www.bing.com/maps/?lvl=14&amp;sty=h&amp;cp=35.9593~41.4905&amp;sp=point.35.9593_41.4905","Maplink3")</f>
        <v>Maplink3</v>
      </c>
    </row>
    <row r="941" spans="1:51" x14ac:dyDescent="0.2">
      <c r="A941" s="102">
        <v>34010</v>
      </c>
      <c r="B941" s="103" t="s">
        <v>35</v>
      </c>
      <c r="C941" s="103" t="s">
        <v>98</v>
      </c>
      <c r="D941" s="103" t="s">
        <v>1991</v>
      </c>
      <c r="E941" s="103" t="s">
        <v>377</v>
      </c>
      <c r="F941" s="103">
        <v>36.042966999999997</v>
      </c>
      <c r="G941" s="103">
        <v>41.711897999999998</v>
      </c>
      <c r="H941" s="102">
        <v>187</v>
      </c>
      <c r="I941" s="102">
        <v>1122</v>
      </c>
      <c r="J941" s="103"/>
      <c r="K941" s="103"/>
      <c r="L941" s="103"/>
      <c r="M941" s="103">
        <v>187</v>
      </c>
      <c r="N941" s="103"/>
      <c r="O941" s="103"/>
      <c r="P941" s="103"/>
      <c r="Q941" s="103"/>
      <c r="R941" s="103"/>
      <c r="S941" s="103"/>
      <c r="T941" s="103"/>
      <c r="U941" s="103"/>
      <c r="V941" s="103"/>
      <c r="W941" s="103"/>
      <c r="X941" s="103"/>
      <c r="Y941" s="103"/>
      <c r="Z941" s="103"/>
      <c r="AA941" s="103"/>
      <c r="AB941" s="103"/>
      <c r="AC941" s="103"/>
      <c r="AD941" s="103"/>
      <c r="AE941" s="103"/>
      <c r="AF941" s="103"/>
      <c r="AG941" s="103">
        <v>187</v>
      </c>
      <c r="AH941" s="103"/>
      <c r="AI941" s="103"/>
      <c r="AJ941" s="103"/>
      <c r="AK941" s="103"/>
      <c r="AL941" s="103"/>
      <c r="AM941" s="103"/>
      <c r="AN941" s="103"/>
      <c r="AO941" s="103"/>
      <c r="AP941" s="103"/>
      <c r="AQ941" s="103"/>
      <c r="AR941" s="103"/>
      <c r="AS941" s="103">
        <v>187</v>
      </c>
      <c r="AT941" s="103"/>
      <c r="AU941" s="103"/>
      <c r="AV941" s="103"/>
      <c r="AW941" s="104" t="str">
        <f>HYPERLINK("http://www.openstreetmap.org/?mlat=36.043&amp;mlon=41.7119&amp;zoom=12#map=12/36.043/41.7119","Maplink1")</f>
        <v>Maplink1</v>
      </c>
      <c r="AX941" s="104" t="str">
        <f>HYPERLINK("https://www.google.iq/maps/search/+36.043,41.7119/@36.043,41.7119,14z?hl=en","Maplink2")</f>
        <v>Maplink2</v>
      </c>
      <c r="AY941" s="104" t="str">
        <f>HYPERLINK("http://www.bing.com/maps/?lvl=14&amp;sty=h&amp;cp=36.043~41.7119&amp;sp=point.36.043_41.7119","Maplink3")</f>
        <v>Maplink3</v>
      </c>
    </row>
    <row r="942" spans="1:51" x14ac:dyDescent="0.2">
      <c r="A942" s="102">
        <v>34014</v>
      </c>
      <c r="B942" s="103" t="s">
        <v>35</v>
      </c>
      <c r="C942" s="103" t="s">
        <v>98</v>
      </c>
      <c r="D942" s="103" t="s">
        <v>1992</v>
      </c>
      <c r="E942" s="103" t="s">
        <v>1720</v>
      </c>
      <c r="F942" s="103">
        <v>36.04616</v>
      </c>
      <c r="G942" s="103">
        <v>41.722867000000001</v>
      </c>
      <c r="H942" s="102">
        <v>346</v>
      </c>
      <c r="I942" s="102">
        <v>2076</v>
      </c>
      <c r="J942" s="103"/>
      <c r="K942" s="103"/>
      <c r="L942" s="103"/>
      <c r="M942" s="103">
        <v>318</v>
      </c>
      <c r="N942" s="103">
        <v>28</v>
      </c>
      <c r="O942" s="103"/>
      <c r="P942" s="103"/>
      <c r="Q942" s="103"/>
      <c r="R942" s="103"/>
      <c r="S942" s="103"/>
      <c r="T942" s="103"/>
      <c r="U942" s="103"/>
      <c r="V942" s="103"/>
      <c r="W942" s="103"/>
      <c r="X942" s="103"/>
      <c r="Y942" s="103"/>
      <c r="Z942" s="103"/>
      <c r="AA942" s="103">
        <v>29</v>
      </c>
      <c r="AB942" s="103"/>
      <c r="AC942" s="103"/>
      <c r="AD942" s="103"/>
      <c r="AE942" s="103"/>
      <c r="AF942" s="103"/>
      <c r="AG942" s="103">
        <v>317</v>
      </c>
      <c r="AH942" s="103"/>
      <c r="AI942" s="103"/>
      <c r="AJ942" s="103"/>
      <c r="AK942" s="103"/>
      <c r="AL942" s="103"/>
      <c r="AM942" s="103"/>
      <c r="AN942" s="103"/>
      <c r="AO942" s="103"/>
      <c r="AP942" s="103"/>
      <c r="AQ942" s="103"/>
      <c r="AR942" s="103"/>
      <c r="AS942" s="103">
        <v>346</v>
      </c>
      <c r="AT942" s="103"/>
      <c r="AU942" s="103"/>
      <c r="AV942" s="103"/>
      <c r="AW942" s="104" t="str">
        <f>HYPERLINK("http://www.openstreetmap.org/?mlat=36.0462&amp;mlon=41.7229&amp;zoom=12#map=12/36.0462/41.7229","Maplink1")</f>
        <v>Maplink1</v>
      </c>
      <c r="AX942" s="104" t="str">
        <f>HYPERLINK("https://www.google.iq/maps/search/+36.0462,41.7229/@36.0462,41.7229,14z?hl=en","Maplink2")</f>
        <v>Maplink2</v>
      </c>
      <c r="AY942" s="104" t="str">
        <f>HYPERLINK("http://www.bing.com/maps/?lvl=14&amp;sty=h&amp;cp=36.0462~41.7229&amp;sp=point.36.0462_41.7229","Maplink3")</f>
        <v>Maplink3</v>
      </c>
    </row>
    <row r="943" spans="1:51" x14ac:dyDescent="0.2">
      <c r="A943" s="102">
        <v>33431</v>
      </c>
      <c r="B943" s="103" t="s">
        <v>35</v>
      </c>
      <c r="C943" s="103" t="s">
        <v>98</v>
      </c>
      <c r="D943" s="103" t="s">
        <v>2003</v>
      </c>
      <c r="E943" s="103" t="s">
        <v>2004</v>
      </c>
      <c r="F943" s="103">
        <v>36.125506000000001</v>
      </c>
      <c r="G943" s="103">
        <v>41.572870999999999</v>
      </c>
      <c r="H943" s="102">
        <v>42</v>
      </c>
      <c r="I943" s="102">
        <v>252</v>
      </c>
      <c r="J943" s="103"/>
      <c r="K943" s="103"/>
      <c r="L943" s="103"/>
      <c r="M943" s="103">
        <v>42</v>
      </c>
      <c r="N943" s="103"/>
      <c r="O943" s="103"/>
      <c r="P943" s="103"/>
      <c r="Q943" s="103"/>
      <c r="R943" s="103"/>
      <c r="S943" s="103"/>
      <c r="T943" s="103"/>
      <c r="U943" s="103"/>
      <c r="V943" s="103"/>
      <c r="W943" s="103"/>
      <c r="X943" s="103"/>
      <c r="Y943" s="103"/>
      <c r="Z943" s="103"/>
      <c r="AA943" s="103"/>
      <c r="AB943" s="103"/>
      <c r="AC943" s="103"/>
      <c r="AD943" s="103"/>
      <c r="AE943" s="103"/>
      <c r="AF943" s="103"/>
      <c r="AG943" s="103">
        <v>42</v>
      </c>
      <c r="AH943" s="103"/>
      <c r="AI943" s="103"/>
      <c r="AJ943" s="103"/>
      <c r="AK943" s="103"/>
      <c r="AL943" s="103"/>
      <c r="AM943" s="103"/>
      <c r="AN943" s="103"/>
      <c r="AO943" s="103"/>
      <c r="AP943" s="103"/>
      <c r="AQ943" s="103"/>
      <c r="AR943" s="103"/>
      <c r="AS943" s="103">
        <v>42</v>
      </c>
      <c r="AT943" s="103"/>
      <c r="AU943" s="103"/>
      <c r="AV943" s="103"/>
      <c r="AW943" s="104" t="str">
        <f>HYPERLINK("http://www.openstreetmap.org/?mlat=36.1255&amp;mlon=41.5729&amp;zoom=12#map=12/36.1255/41.5729","Maplink1")</f>
        <v>Maplink1</v>
      </c>
      <c r="AX943" s="104" t="str">
        <f>HYPERLINK("https://www.google.iq/maps/search/+36.1255,41.5729/@36.1255,41.5729,14z?hl=en","Maplink2")</f>
        <v>Maplink2</v>
      </c>
      <c r="AY943" s="104" t="str">
        <f>HYPERLINK("http://www.bing.com/maps/?lvl=14&amp;sty=h&amp;cp=36.1255~41.5729&amp;sp=point.36.1255_41.5729","Maplink3")</f>
        <v>Maplink3</v>
      </c>
    </row>
    <row r="944" spans="1:51" x14ac:dyDescent="0.2">
      <c r="A944" s="102">
        <v>33854</v>
      </c>
      <c r="B944" s="103" t="s">
        <v>35</v>
      </c>
      <c r="C944" s="103" t="s">
        <v>98</v>
      </c>
      <c r="D944" s="103" t="s">
        <v>2005</v>
      </c>
      <c r="E944" s="103" t="s">
        <v>2006</v>
      </c>
      <c r="F944" s="103">
        <v>36.271999999999998</v>
      </c>
      <c r="G944" s="103">
        <v>41.367502000000002</v>
      </c>
      <c r="H944" s="102">
        <v>275</v>
      </c>
      <c r="I944" s="102">
        <v>1650</v>
      </c>
      <c r="J944" s="103">
        <v>10</v>
      </c>
      <c r="K944" s="103"/>
      <c r="L944" s="103"/>
      <c r="M944" s="103">
        <v>265</v>
      </c>
      <c r="N944" s="103"/>
      <c r="O944" s="103"/>
      <c r="P944" s="103"/>
      <c r="Q944" s="103"/>
      <c r="R944" s="103"/>
      <c r="S944" s="103"/>
      <c r="T944" s="103"/>
      <c r="U944" s="103"/>
      <c r="V944" s="103"/>
      <c r="W944" s="103"/>
      <c r="X944" s="103"/>
      <c r="Y944" s="103"/>
      <c r="Z944" s="103"/>
      <c r="AA944" s="103"/>
      <c r="AB944" s="103"/>
      <c r="AC944" s="103"/>
      <c r="AD944" s="103"/>
      <c r="AE944" s="103"/>
      <c r="AF944" s="103"/>
      <c r="AG944" s="103">
        <v>275</v>
      </c>
      <c r="AH944" s="103"/>
      <c r="AI944" s="103"/>
      <c r="AJ944" s="103"/>
      <c r="AK944" s="103"/>
      <c r="AL944" s="103"/>
      <c r="AM944" s="103"/>
      <c r="AN944" s="103"/>
      <c r="AO944" s="103"/>
      <c r="AP944" s="103"/>
      <c r="AQ944" s="103"/>
      <c r="AR944" s="103"/>
      <c r="AS944" s="103">
        <v>275</v>
      </c>
      <c r="AT944" s="103"/>
      <c r="AU944" s="103"/>
      <c r="AV944" s="103"/>
      <c r="AW944" s="104" t="str">
        <f>HYPERLINK("http://www.openstreetmap.org/?mlat=36.272&amp;mlon=41.3675&amp;zoom=12#map=12/36.272/41.3675","Maplink1")</f>
        <v>Maplink1</v>
      </c>
      <c r="AX944" s="104" t="str">
        <f>HYPERLINK("https://www.google.iq/maps/search/+36.272,41.3675/@36.272,41.3675,14z?hl=en","Maplink2")</f>
        <v>Maplink2</v>
      </c>
      <c r="AY944" s="104" t="str">
        <f>HYPERLINK("http://www.bing.com/maps/?lvl=14&amp;sty=h&amp;cp=36.272~41.3675&amp;sp=point.36.272_41.3675","Maplink3")</f>
        <v>Maplink3</v>
      </c>
    </row>
    <row r="945" spans="1:51" x14ac:dyDescent="0.2">
      <c r="A945" s="102">
        <v>34065</v>
      </c>
      <c r="B945" s="103" t="s">
        <v>35</v>
      </c>
      <c r="C945" s="103" t="s">
        <v>98</v>
      </c>
      <c r="D945" s="103" t="s">
        <v>3882</v>
      </c>
      <c r="E945" s="103" t="s">
        <v>3883</v>
      </c>
      <c r="F945" s="103">
        <v>36.050640000000001</v>
      </c>
      <c r="G945" s="103">
        <v>41.993209999999998</v>
      </c>
      <c r="H945" s="102">
        <v>28</v>
      </c>
      <c r="I945" s="102">
        <v>168</v>
      </c>
      <c r="J945" s="103"/>
      <c r="K945" s="103"/>
      <c r="L945" s="103"/>
      <c r="M945" s="103">
        <v>28</v>
      </c>
      <c r="N945" s="103"/>
      <c r="O945" s="103"/>
      <c r="P945" s="103"/>
      <c r="Q945" s="103"/>
      <c r="R945" s="103"/>
      <c r="S945" s="103"/>
      <c r="T945" s="103"/>
      <c r="U945" s="103"/>
      <c r="V945" s="103"/>
      <c r="W945" s="103"/>
      <c r="X945" s="103"/>
      <c r="Y945" s="103"/>
      <c r="Z945" s="103"/>
      <c r="AA945" s="103"/>
      <c r="AB945" s="103"/>
      <c r="AC945" s="103"/>
      <c r="AD945" s="103"/>
      <c r="AE945" s="103"/>
      <c r="AF945" s="103"/>
      <c r="AG945" s="103">
        <v>28</v>
      </c>
      <c r="AH945" s="103"/>
      <c r="AI945" s="103"/>
      <c r="AJ945" s="103"/>
      <c r="AK945" s="103"/>
      <c r="AL945" s="103"/>
      <c r="AM945" s="103"/>
      <c r="AN945" s="103"/>
      <c r="AO945" s="103"/>
      <c r="AP945" s="103"/>
      <c r="AQ945" s="103"/>
      <c r="AR945" s="103"/>
      <c r="AS945" s="103">
        <v>28</v>
      </c>
      <c r="AT945" s="103"/>
      <c r="AU945" s="103"/>
      <c r="AV945" s="103"/>
      <c r="AW945" s="104" t="str">
        <f>HYPERLINK("http://www.openstreetmap.org/?mlat=36.0506&amp;mlon=41.9932&amp;zoom=12#map=12/36.0506/41.9932","Maplink1")</f>
        <v>Maplink1</v>
      </c>
      <c r="AX945" s="104" t="str">
        <f>HYPERLINK("https://www.google.iq/maps/search/+36.0506,41.9932/@36.0506,41.9932,14z?hl=en","Maplink2")</f>
        <v>Maplink2</v>
      </c>
      <c r="AY945" s="104" t="str">
        <f>HYPERLINK("http://www.bing.com/maps/?lvl=14&amp;sty=h&amp;cp=36.0506~41.9932&amp;sp=point.36.0506_41.9932","Maplink3")</f>
        <v>Maplink3</v>
      </c>
    </row>
    <row r="946" spans="1:51" x14ac:dyDescent="0.2">
      <c r="A946" s="102">
        <v>34086</v>
      </c>
      <c r="B946" s="103" t="s">
        <v>35</v>
      </c>
      <c r="C946" s="103" t="s">
        <v>98</v>
      </c>
      <c r="D946" s="103" t="s">
        <v>3884</v>
      </c>
      <c r="E946" s="103" t="s">
        <v>3885</v>
      </c>
      <c r="F946" s="103">
        <v>36.038161000000002</v>
      </c>
      <c r="G946" s="103">
        <v>41.592050999999998</v>
      </c>
      <c r="H946" s="102">
        <v>29</v>
      </c>
      <c r="I946" s="102">
        <v>174</v>
      </c>
      <c r="J946" s="103"/>
      <c r="K946" s="103"/>
      <c r="L946" s="103"/>
      <c r="M946" s="103">
        <v>29</v>
      </c>
      <c r="N946" s="103"/>
      <c r="O946" s="103"/>
      <c r="P946" s="103"/>
      <c r="Q946" s="103"/>
      <c r="R946" s="103"/>
      <c r="S946" s="103"/>
      <c r="T946" s="103"/>
      <c r="U946" s="103"/>
      <c r="V946" s="103"/>
      <c r="W946" s="103"/>
      <c r="X946" s="103"/>
      <c r="Y946" s="103"/>
      <c r="Z946" s="103"/>
      <c r="AA946" s="103"/>
      <c r="AB946" s="103"/>
      <c r="AC946" s="103"/>
      <c r="AD946" s="103"/>
      <c r="AE946" s="103"/>
      <c r="AF946" s="103"/>
      <c r="AG946" s="103">
        <v>29</v>
      </c>
      <c r="AH946" s="103"/>
      <c r="AI946" s="103"/>
      <c r="AJ946" s="103"/>
      <c r="AK946" s="103"/>
      <c r="AL946" s="103"/>
      <c r="AM946" s="103"/>
      <c r="AN946" s="103"/>
      <c r="AO946" s="103"/>
      <c r="AP946" s="103"/>
      <c r="AQ946" s="103"/>
      <c r="AR946" s="103"/>
      <c r="AS946" s="103">
        <v>29</v>
      </c>
      <c r="AT946" s="103"/>
      <c r="AU946" s="103"/>
      <c r="AV946" s="103"/>
      <c r="AW946" s="104" t="str">
        <f>HYPERLINK("http://www.openstreetmap.org/?mlat=36.0382&amp;mlon=41.5921&amp;zoom=12#map=12/36.0382/41.5921","Maplink1")</f>
        <v>Maplink1</v>
      </c>
      <c r="AX946" s="104" t="str">
        <f>HYPERLINK("https://www.google.iq/maps/search/+36.0382,41.5921/@36.0382,41.5921,14z?hl=en","Maplink2")</f>
        <v>Maplink2</v>
      </c>
      <c r="AY946" s="104" t="str">
        <f>HYPERLINK("http://www.bing.com/maps/?lvl=14&amp;sty=h&amp;cp=36.0382~41.5921&amp;sp=point.36.0382_41.5921","Maplink3")</f>
        <v>Maplink3</v>
      </c>
    </row>
    <row r="947" spans="1:51" x14ac:dyDescent="0.2">
      <c r="A947" s="102">
        <v>34057</v>
      </c>
      <c r="B947" s="103" t="s">
        <v>35</v>
      </c>
      <c r="C947" s="103" t="s">
        <v>98</v>
      </c>
      <c r="D947" s="103" t="s">
        <v>3886</v>
      </c>
      <c r="E947" s="103" t="s">
        <v>3887</v>
      </c>
      <c r="F947" s="103">
        <v>36.029487000000003</v>
      </c>
      <c r="G947" s="103">
        <v>42.229919000000002</v>
      </c>
      <c r="H947" s="102">
        <v>11</v>
      </c>
      <c r="I947" s="102">
        <v>66</v>
      </c>
      <c r="J947" s="103"/>
      <c r="K947" s="103"/>
      <c r="L947" s="103"/>
      <c r="M947" s="103">
        <v>11</v>
      </c>
      <c r="N947" s="103"/>
      <c r="O947" s="103"/>
      <c r="P947" s="103"/>
      <c r="Q947" s="103"/>
      <c r="R947" s="103"/>
      <c r="S947" s="103"/>
      <c r="T947" s="103"/>
      <c r="U947" s="103"/>
      <c r="V947" s="103"/>
      <c r="W947" s="103"/>
      <c r="X947" s="103"/>
      <c r="Y947" s="103"/>
      <c r="Z947" s="103"/>
      <c r="AA947" s="103"/>
      <c r="AB947" s="103"/>
      <c r="AC947" s="103"/>
      <c r="AD947" s="103"/>
      <c r="AE947" s="103"/>
      <c r="AF947" s="103"/>
      <c r="AG947" s="103">
        <v>11</v>
      </c>
      <c r="AH947" s="103"/>
      <c r="AI947" s="103"/>
      <c r="AJ947" s="103"/>
      <c r="AK947" s="103"/>
      <c r="AL947" s="103"/>
      <c r="AM947" s="103"/>
      <c r="AN947" s="103"/>
      <c r="AO947" s="103"/>
      <c r="AP947" s="103"/>
      <c r="AQ947" s="103"/>
      <c r="AR947" s="103"/>
      <c r="AS947" s="103">
        <v>11</v>
      </c>
      <c r="AT947" s="103"/>
      <c r="AU947" s="103"/>
      <c r="AV947" s="103"/>
      <c r="AW947" s="104" t="str">
        <f>HYPERLINK("http://www.openstreetmap.org/?mlat=36.0295&amp;mlon=42.2299&amp;zoom=12#map=12/36.0295/42.2299","Maplink1")</f>
        <v>Maplink1</v>
      </c>
      <c r="AX947" s="104" t="str">
        <f>HYPERLINK("https://www.google.iq/maps/search/+36.0295,42.2299/@36.0295,42.2299,14z?hl=en","Maplink2")</f>
        <v>Maplink2</v>
      </c>
      <c r="AY947" s="104" t="str">
        <f>HYPERLINK("http://www.bing.com/maps/?lvl=14&amp;sty=h&amp;cp=36.0295~42.2299&amp;sp=point.36.0295_42.2299","Maplink3")</f>
        <v>Maplink3</v>
      </c>
    </row>
    <row r="948" spans="1:51" x14ac:dyDescent="0.2">
      <c r="A948" s="102">
        <v>33615</v>
      </c>
      <c r="B948" s="103" t="s">
        <v>35</v>
      </c>
      <c r="C948" s="103" t="s">
        <v>98</v>
      </c>
      <c r="D948" s="103" t="s">
        <v>3888</v>
      </c>
      <c r="E948" s="103" t="s">
        <v>3889</v>
      </c>
      <c r="F948" s="103">
        <v>36.295245299999998</v>
      </c>
      <c r="G948" s="103">
        <v>41.834103200000001</v>
      </c>
      <c r="H948" s="102">
        <v>14</v>
      </c>
      <c r="I948" s="102">
        <v>84</v>
      </c>
      <c r="J948" s="103"/>
      <c r="K948" s="103"/>
      <c r="L948" s="103"/>
      <c r="M948" s="103">
        <v>14</v>
      </c>
      <c r="N948" s="103"/>
      <c r="O948" s="103"/>
      <c r="P948" s="103"/>
      <c r="Q948" s="103"/>
      <c r="R948" s="103"/>
      <c r="S948" s="103"/>
      <c r="T948" s="103"/>
      <c r="U948" s="103"/>
      <c r="V948" s="103"/>
      <c r="W948" s="103"/>
      <c r="X948" s="103"/>
      <c r="Y948" s="103"/>
      <c r="Z948" s="103"/>
      <c r="AA948" s="103"/>
      <c r="AB948" s="103"/>
      <c r="AC948" s="103"/>
      <c r="AD948" s="103"/>
      <c r="AE948" s="103"/>
      <c r="AF948" s="103"/>
      <c r="AG948" s="103">
        <v>14</v>
      </c>
      <c r="AH948" s="103"/>
      <c r="AI948" s="103"/>
      <c r="AJ948" s="103"/>
      <c r="AK948" s="103"/>
      <c r="AL948" s="103"/>
      <c r="AM948" s="103"/>
      <c r="AN948" s="103"/>
      <c r="AO948" s="103"/>
      <c r="AP948" s="103"/>
      <c r="AQ948" s="103"/>
      <c r="AR948" s="103"/>
      <c r="AS948" s="103">
        <v>14</v>
      </c>
      <c r="AT948" s="103"/>
      <c r="AU948" s="103"/>
      <c r="AV948" s="103"/>
      <c r="AW948" s="104" t="str">
        <f>HYPERLINK("http://www.openstreetmap.org/?mlat=36.2952&amp;mlon=41.8341&amp;zoom=12#map=12/36.2952/41.8341","Maplink1")</f>
        <v>Maplink1</v>
      </c>
      <c r="AX948" s="104" t="str">
        <f>HYPERLINK("https://www.google.iq/maps/search/+36.2952,41.8341/@36.2952,41.8341,14z?hl=en","Maplink2")</f>
        <v>Maplink2</v>
      </c>
      <c r="AY948" s="104" t="str">
        <f>HYPERLINK("http://www.bing.com/maps/?lvl=14&amp;sty=h&amp;cp=36.2952~41.8341&amp;sp=point.36.2952_41.8341","Maplink3")</f>
        <v>Maplink3</v>
      </c>
    </row>
    <row r="949" spans="1:51" x14ac:dyDescent="0.2">
      <c r="A949" s="102">
        <v>34029</v>
      </c>
      <c r="B949" s="103" t="s">
        <v>35</v>
      </c>
      <c r="C949" s="103" t="s">
        <v>98</v>
      </c>
      <c r="D949" s="103" t="s">
        <v>1956</v>
      </c>
      <c r="E949" s="103" t="s">
        <v>1957</v>
      </c>
      <c r="F949" s="103">
        <v>35.987360000000002</v>
      </c>
      <c r="G949" s="103">
        <v>41.761434999999999</v>
      </c>
      <c r="H949" s="102">
        <v>28</v>
      </c>
      <c r="I949" s="102">
        <v>168</v>
      </c>
      <c r="J949" s="103"/>
      <c r="K949" s="103"/>
      <c r="L949" s="103"/>
      <c r="M949" s="103">
        <v>28</v>
      </c>
      <c r="N949" s="103"/>
      <c r="O949" s="103"/>
      <c r="P949" s="103"/>
      <c r="Q949" s="103"/>
      <c r="R949" s="103"/>
      <c r="S949" s="103"/>
      <c r="T949" s="103"/>
      <c r="U949" s="103">
        <v>4</v>
      </c>
      <c r="V949" s="103"/>
      <c r="W949" s="103"/>
      <c r="X949" s="103"/>
      <c r="Y949" s="103"/>
      <c r="Z949" s="103"/>
      <c r="AA949" s="103"/>
      <c r="AB949" s="103"/>
      <c r="AC949" s="103"/>
      <c r="AD949" s="103"/>
      <c r="AE949" s="103"/>
      <c r="AF949" s="103"/>
      <c r="AG949" s="103">
        <v>24</v>
      </c>
      <c r="AH949" s="103"/>
      <c r="AI949" s="103"/>
      <c r="AJ949" s="103"/>
      <c r="AK949" s="103"/>
      <c r="AL949" s="103"/>
      <c r="AM949" s="103"/>
      <c r="AN949" s="103"/>
      <c r="AO949" s="103"/>
      <c r="AP949" s="103"/>
      <c r="AQ949" s="103"/>
      <c r="AR949" s="103"/>
      <c r="AS949" s="103">
        <v>28</v>
      </c>
      <c r="AT949" s="103"/>
      <c r="AU949" s="103"/>
      <c r="AV949" s="103"/>
      <c r="AW949" s="104" t="str">
        <f>HYPERLINK("http://www.openstreetmap.org/?mlat=35.9874&amp;mlon=41.7614&amp;zoom=12#map=12/35.9874/41.7614","Maplink1")</f>
        <v>Maplink1</v>
      </c>
      <c r="AX949" s="104" t="str">
        <f>HYPERLINK("https://www.google.iq/maps/search/+35.9874,41.7614/@35.9874,41.7614,14z?hl=en","Maplink2")</f>
        <v>Maplink2</v>
      </c>
      <c r="AY949" s="104" t="str">
        <f>HYPERLINK("http://www.bing.com/maps/?lvl=14&amp;sty=h&amp;cp=35.9874~41.7614&amp;sp=point.35.9874_41.7614","Maplink3")</f>
        <v>Maplink3</v>
      </c>
    </row>
    <row r="950" spans="1:51" x14ac:dyDescent="0.2">
      <c r="A950" s="102">
        <v>34078</v>
      </c>
      <c r="B950" s="103" t="s">
        <v>35</v>
      </c>
      <c r="C950" s="103" t="s">
        <v>98</v>
      </c>
      <c r="D950" s="103" t="s">
        <v>3890</v>
      </c>
      <c r="E950" s="103" t="s">
        <v>3891</v>
      </c>
      <c r="F950" s="103">
        <v>35.987796000000003</v>
      </c>
      <c r="G950" s="103">
        <v>42.282870000000003</v>
      </c>
      <c r="H950" s="102">
        <v>14</v>
      </c>
      <c r="I950" s="102">
        <v>84</v>
      </c>
      <c r="J950" s="103"/>
      <c r="K950" s="103"/>
      <c r="L950" s="103"/>
      <c r="M950" s="103">
        <v>14</v>
      </c>
      <c r="N950" s="103"/>
      <c r="O950" s="103"/>
      <c r="P950" s="103"/>
      <c r="Q950" s="103"/>
      <c r="R950" s="103"/>
      <c r="S950" s="103"/>
      <c r="T950" s="103"/>
      <c r="U950" s="103"/>
      <c r="V950" s="103"/>
      <c r="W950" s="103"/>
      <c r="X950" s="103"/>
      <c r="Y950" s="103"/>
      <c r="Z950" s="103"/>
      <c r="AA950" s="103"/>
      <c r="AB950" s="103"/>
      <c r="AC950" s="103"/>
      <c r="AD950" s="103"/>
      <c r="AE950" s="103"/>
      <c r="AF950" s="103"/>
      <c r="AG950" s="103">
        <v>14</v>
      </c>
      <c r="AH950" s="103"/>
      <c r="AI950" s="103"/>
      <c r="AJ950" s="103"/>
      <c r="AK950" s="103"/>
      <c r="AL950" s="103"/>
      <c r="AM950" s="103"/>
      <c r="AN950" s="103"/>
      <c r="AO950" s="103"/>
      <c r="AP950" s="103"/>
      <c r="AQ950" s="103"/>
      <c r="AR950" s="103"/>
      <c r="AS950" s="103">
        <v>14</v>
      </c>
      <c r="AT950" s="103"/>
      <c r="AU950" s="103"/>
      <c r="AV950" s="103"/>
      <c r="AW950" s="104" t="str">
        <f>HYPERLINK("http://www.openstreetmap.org/?mlat=35.9878&amp;mlon=42.2829&amp;zoom=12#map=12/35.9878/42.2829","Maplink1")</f>
        <v>Maplink1</v>
      </c>
      <c r="AX950" s="104" t="str">
        <f>HYPERLINK("https://www.google.iq/maps/search/+35.9878,42.2829/@35.9878,42.2829,14z?hl=en","Maplink2")</f>
        <v>Maplink2</v>
      </c>
      <c r="AY950" s="104" t="str">
        <f>HYPERLINK("http://www.bing.com/maps/?lvl=14&amp;sty=h&amp;cp=35.9878~42.2829&amp;sp=point.35.9878_42.2829","Maplink3")</f>
        <v>Maplink3</v>
      </c>
    </row>
    <row r="951" spans="1:51" x14ac:dyDescent="0.2">
      <c r="A951" s="102">
        <v>34082</v>
      </c>
      <c r="B951" s="103" t="s">
        <v>35</v>
      </c>
      <c r="C951" s="103" t="s">
        <v>98</v>
      </c>
      <c r="D951" s="103" t="s">
        <v>3892</v>
      </c>
      <c r="E951" s="103" t="s">
        <v>3893</v>
      </c>
      <c r="F951" s="103">
        <v>36.170521999999998</v>
      </c>
      <c r="G951" s="103">
        <v>41.345382000000001</v>
      </c>
      <c r="H951" s="102">
        <v>20</v>
      </c>
      <c r="I951" s="102">
        <v>120</v>
      </c>
      <c r="J951" s="103"/>
      <c r="K951" s="103"/>
      <c r="L951" s="103"/>
      <c r="M951" s="103">
        <v>20</v>
      </c>
      <c r="N951" s="103"/>
      <c r="O951" s="103"/>
      <c r="P951" s="103"/>
      <c r="Q951" s="103"/>
      <c r="R951" s="103"/>
      <c r="S951" s="103"/>
      <c r="T951" s="103"/>
      <c r="U951" s="103"/>
      <c r="V951" s="103"/>
      <c r="W951" s="103"/>
      <c r="X951" s="103"/>
      <c r="Y951" s="103"/>
      <c r="Z951" s="103"/>
      <c r="AA951" s="103"/>
      <c r="AB951" s="103"/>
      <c r="AC951" s="103"/>
      <c r="AD951" s="103"/>
      <c r="AE951" s="103"/>
      <c r="AF951" s="103"/>
      <c r="AG951" s="103">
        <v>20</v>
      </c>
      <c r="AH951" s="103"/>
      <c r="AI951" s="103"/>
      <c r="AJ951" s="103"/>
      <c r="AK951" s="103"/>
      <c r="AL951" s="103"/>
      <c r="AM951" s="103"/>
      <c r="AN951" s="103"/>
      <c r="AO951" s="103"/>
      <c r="AP951" s="103"/>
      <c r="AQ951" s="103"/>
      <c r="AR951" s="103"/>
      <c r="AS951" s="103">
        <v>20</v>
      </c>
      <c r="AT951" s="103"/>
      <c r="AU951" s="103"/>
      <c r="AV951" s="103"/>
      <c r="AW951" s="104" t="str">
        <f>HYPERLINK("http://www.openstreetmap.org/?mlat=36.1705&amp;mlon=41.3454&amp;zoom=12#map=12/36.1705/41.3454","Maplink1")</f>
        <v>Maplink1</v>
      </c>
      <c r="AX951" s="104" t="str">
        <f>HYPERLINK("https://www.google.iq/maps/search/+36.1705,41.3454/@36.1705,41.3454,14z?hl=en","Maplink2")</f>
        <v>Maplink2</v>
      </c>
      <c r="AY951" s="104" t="str">
        <f>HYPERLINK("http://www.bing.com/maps/?lvl=14&amp;sty=h&amp;cp=36.1705~41.3454&amp;sp=point.36.1705_41.3454","Maplink3")</f>
        <v>Maplink3</v>
      </c>
    </row>
    <row r="952" spans="1:51" x14ac:dyDescent="0.2">
      <c r="A952" s="102">
        <v>34095</v>
      </c>
      <c r="B952" s="103" t="s">
        <v>35</v>
      </c>
      <c r="C952" s="103" t="s">
        <v>98</v>
      </c>
      <c r="D952" s="103" t="s">
        <v>3894</v>
      </c>
      <c r="E952" s="103" t="s">
        <v>3895</v>
      </c>
      <c r="F952" s="103">
        <v>36.104463000000003</v>
      </c>
      <c r="G952" s="103">
        <v>41.678370000000001</v>
      </c>
      <c r="H952" s="102">
        <v>20</v>
      </c>
      <c r="I952" s="102">
        <v>120</v>
      </c>
      <c r="J952" s="103"/>
      <c r="K952" s="103"/>
      <c r="L952" s="103"/>
      <c r="M952" s="103">
        <v>20</v>
      </c>
      <c r="N952" s="103"/>
      <c r="O952" s="103"/>
      <c r="P952" s="103"/>
      <c r="Q952" s="103"/>
      <c r="R952" s="103"/>
      <c r="S952" s="103"/>
      <c r="T952" s="103"/>
      <c r="U952" s="103"/>
      <c r="V952" s="103"/>
      <c r="W952" s="103"/>
      <c r="X952" s="103"/>
      <c r="Y952" s="103"/>
      <c r="Z952" s="103"/>
      <c r="AA952" s="103"/>
      <c r="AB952" s="103"/>
      <c r="AC952" s="103"/>
      <c r="AD952" s="103"/>
      <c r="AE952" s="103"/>
      <c r="AF952" s="103"/>
      <c r="AG952" s="103">
        <v>20</v>
      </c>
      <c r="AH952" s="103"/>
      <c r="AI952" s="103"/>
      <c r="AJ952" s="103"/>
      <c r="AK952" s="103"/>
      <c r="AL952" s="103"/>
      <c r="AM952" s="103"/>
      <c r="AN952" s="103"/>
      <c r="AO952" s="103"/>
      <c r="AP952" s="103"/>
      <c r="AQ952" s="103"/>
      <c r="AR952" s="103"/>
      <c r="AS952" s="103">
        <v>20</v>
      </c>
      <c r="AT952" s="103"/>
      <c r="AU952" s="103"/>
      <c r="AV952" s="103"/>
      <c r="AW952" s="104" t="str">
        <f>HYPERLINK("http://www.openstreetmap.org/?mlat=36.1045&amp;mlon=41.6784&amp;zoom=12#map=12/36.1045/41.6784","Maplink1")</f>
        <v>Maplink1</v>
      </c>
      <c r="AX952" s="104" t="str">
        <f>HYPERLINK("https://www.google.iq/maps/search/+36.1045,41.6784/@36.1045,41.6784,14z?hl=en","Maplink2")</f>
        <v>Maplink2</v>
      </c>
      <c r="AY952" s="104" t="str">
        <f>HYPERLINK("http://www.bing.com/maps/?lvl=14&amp;sty=h&amp;cp=36.1045~41.6784&amp;sp=point.36.1045_41.6784","Maplink3")</f>
        <v>Maplink3</v>
      </c>
    </row>
    <row r="953" spans="1:51" x14ac:dyDescent="0.2">
      <c r="A953" s="102">
        <v>33912</v>
      </c>
      <c r="B953" s="103" t="s">
        <v>35</v>
      </c>
      <c r="C953" s="103" t="s">
        <v>98</v>
      </c>
      <c r="D953" s="103" t="s">
        <v>1970</v>
      </c>
      <c r="E953" s="103" t="s">
        <v>1971</v>
      </c>
      <c r="F953" s="103">
        <v>35.879818999999998</v>
      </c>
      <c r="G953" s="103">
        <v>41.832729</v>
      </c>
      <c r="H953" s="102">
        <v>196</v>
      </c>
      <c r="I953" s="102">
        <v>1176</v>
      </c>
      <c r="J953" s="103"/>
      <c r="K953" s="103"/>
      <c r="L953" s="103"/>
      <c r="M953" s="103">
        <v>179</v>
      </c>
      <c r="N953" s="103">
        <v>17</v>
      </c>
      <c r="O953" s="103"/>
      <c r="P953" s="103"/>
      <c r="Q953" s="103"/>
      <c r="R953" s="103"/>
      <c r="S953" s="103"/>
      <c r="T953" s="103"/>
      <c r="U953" s="103"/>
      <c r="V953" s="103"/>
      <c r="W953" s="103"/>
      <c r="X953" s="103"/>
      <c r="Y953" s="103"/>
      <c r="Z953" s="103"/>
      <c r="AA953" s="103"/>
      <c r="AB953" s="103"/>
      <c r="AC953" s="103"/>
      <c r="AD953" s="103"/>
      <c r="AE953" s="103"/>
      <c r="AF953" s="103"/>
      <c r="AG953" s="103">
        <v>196</v>
      </c>
      <c r="AH953" s="103"/>
      <c r="AI953" s="103"/>
      <c r="AJ953" s="103"/>
      <c r="AK953" s="103"/>
      <c r="AL953" s="103"/>
      <c r="AM953" s="103"/>
      <c r="AN953" s="103"/>
      <c r="AO953" s="103"/>
      <c r="AP953" s="103"/>
      <c r="AQ953" s="103"/>
      <c r="AR953" s="103"/>
      <c r="AS953" s="103">
        <v>196</v>
      </c>
      <c r="AT953" s="103"/>
      <c r="AU953" s="103"/>
      <c r="AV953" s="103"/>
      <c r="AW953" s="104" t="str">
        <f>HYPERLINK("http://www.openstreetmap.org/?mlat=35.8798&amp;mlon=41.8327&amp;zoom=12#map=12/35.8798/41.8327","Maplink1")</f>
        <v>Maplink1</v>
      </c>
      <c r="AX953" s="104" t="str">
        <f>HYPERLINK("https://www.google.iq/maps/search/+35.8798,41.8327/@35.8798,41.8327,14z?hl=en","Maplink2")</f>
        <v>Maplink2</v>
      </c>
      <c r="AY953" s="104" t="str">
        <f>HYPERLINK("http://www.bing.com/maps/?lvl=14&amp;sty=h&amp;cp=35.8798~41.8327&amp;sp=point.35.8798_41.8327","Maplink3")</f>
        <v>Maplink3</v>
      </c>
    </row>
    <row r="954" spans="1:51" x14ac:dyDescent="0.2">
      <c r="A954" s="102">
        <v>34070</v>
      </c>
      <c r="B954" s="103" t="s">
        <v>35</v>
      </c>
      <c r="C954" s="103" t="s">
        <v>98</v>
      </c>
      <c r="D954" s="103" t="s">
        <v>3896</v>
      </c>
      <c r="E954" s="103" t="s">
        <v>3897</v>
      </c>
      <c r="F954" s="103">
        <v>35.990848999999997</v>
      </c>
      <c r="G954" s="103">
        <v>41.790512999999997</v>
      </c>
      <c r="H954" s="102">
        <v>14</v>
      </c>
      <c r="I954" s="102">
        <v>84</v>
      </c>
      <c r="J954" s="103"/>
      <c r="K954" s="103"/>
      <c r="L954" s="103"/>
      <c r="M954" s="103">
        <v>14</v>
      </c>
      <c r="N954" s="103"/>
      <c r="O954" s="103"/>
      <c r="P954" s="103"/>
      <c r="Q954" s="103"/>
      <c r="R954" s="103"/>
      <c r="S954" s="103"/>
      <c r="T954" s="103"/>
      <c r="U954" s="103"/>
      <c r="V954" s="103"/>
      <c r="W954" s="103"/>
      <c r="X954" s="103"/>
      <c r="Y954" s="103"/>
      <c r="Z954" s="103"/>
      <c r="AA954" s="103"/>
      <c r="AB954" s="103"/>
      <c r="AC954" s="103"/>
      <c r="AD954" s="103"/>
      <c r="AE954" s="103"/>
      <c r="AF954" s="103"/>
      <c r="AG954" s="103">
        <v>14</v>
      </c>
      <c r="AH954" s="103"/>
      <c r="AI954" s="103"/>
      <c r="AJ954" s="103"/>
      <c r="AK954" s="103"/>
      <c r="AL954" s="103"/>
      <c r="AM954" s="103"/>
      <c r="AN954" s="103"/>
      <c r="AO954" s="103"/>
      <c r="AP954" s="103"/>
      <c r="AQ954" s="103"/>
      <c r="AR954" s="103"/>
      <c r="AS954" s="103">
        <v>14</v>
      </c>
      <c r="AT954" s="103"/>
      <c r="AU954" s="103"/>
      <c r="AV954" s="103"/>
      <c r="AW954" s="104" t="str">
        <f>HYPERLINK("http://www.openstreetmap.org/?mlat=35.9908&amp;mlon=41.7905&amp;zoom=12#map=12/35.9908/41.7905","Maplink1")</f>
        <v>Maplink1</v>
      </c>
      <c r="AX954" s="104" t="str">
        <f>HYPERLINK("https://www.google.iq/maps/search/+35.9908,41.7905/@35.9908,41.7905,14z?hl=en","Maplink2")</f>
        <v>Maplink2</v>
      </c>
      <c r="AY954" s="104" t="str">
        <f>HYPERLINK("http://www.bing.com/maps/?lvl=14&amp;sty=h&amp;cp=35.9908~41.7905&amp;sp=point.35.9908_41.7905","Maplink3")</f>
        <v>Maplink3</v>
      </c>
    </row>
    <row r="955" spans="1:51" x14ac:dyDescent="0.2">
      <c r="A955" s="102">
        <v>33433</v>
      </c>
      <c r="B955" s="103" t="s">
        <v>35</v>
      </c>
      <c r="C955" s="103" t="s">
        <v>98</v>
      </c>
      <c r="D955" s="103" t="s">
        <v>1960</v>
      </c>
      <c r="E955" s="103" t="s">
        <v>1961</v>
      </c>
      <c r="F955" s="103">
        <v>36.022418000000002</v>
      </c>
      <c r="G955" s="103">
        <v>41.515613999999999</v>
      </c>
      <c r="H955" s="102">
        <v>23</v>
      </c>
      <c r="I955" s="102">
        <v>138</v>
      </c>
      <c r="J955" s="103"/>
      <c r="K955" s="103"/>
      <c r="L955" s="103"/>
      <c r="M955" s="103">
        <v>20</v>
      </c>
      <c r="N955" s="103">
        <v>3</v>
      </c>
      <c r="O955" s="103"/>
      <c r="P955" s="103"/>
      <c r="Q955" s="103"/>
      <c r="R955" s="103"/>
      <c r="S955" s="103"/>
      <c r="T955" s="103"/>
      <c r="U955" s="103"/>
      <c r="V955" s="103"/>
      <c r="W955" s="103"/>
      <c r="X955" s="103"/>
      <c r="Y955" s="103"/>
      <c r="Z955" s="103"/>
      <c r="AA955" s="103"/>
      <c r="AB955" s="103"/>
      <c r="AC955" s="103"/>
      <c r="AD955" s="103"/>
      <c r="AE955" s="103"/>
      <c r="AF955" s="103"/>
      <c r="AG955" s="103">
        <v>23</v>
      </c>
      <c r="AH955" s="103"/>
      <c r="AI955" s="103"/>
      <c r="AJ955" s="103"/>
      <c r="AK955" s="103"/>
      <c r="AL955" s="103"/>
      <c r="AM955" s="103"/>
      <c r="AN955" s="103"/>
      <c r="AO955" s="103"/>
      <c r="AP955" s="103"/>
      <c r="AQ955" s="103"/>
      <c r="AR955" s="103"/>
      <c r="AS955" s="103">
        <v>23</v>
      </c>
      <c r="AT955" s="103"/>
      <c r="AU955" s="103"/>
      <c r="AV955" s="103"/>
      <c r="AW955" s="104" t="str">
        <f>HYPERLINK("http://www.openstreetmap.org/?mlat=36.0224&amp;mlon=41.5156&amp;zoom=12#map=12/36.0224/41.5156","Maplink1")</f>
        <v>Maplink1</v>
      </c>
      <c r="AX955" s="104" t="str">
        <f>HYPERLINK("https://www.google.iq/maps/search/+36.0224,41.5156/@36.0224,41.5156,14z?hl=en","Maplink2")</f>
        <v>Maplink2</v>
      </c>
      <c r="AY955" s="104" t="str">
        <f>HYPERLINK("http://www.bing.com/maps/?lvl=14&amp;sty=h&amp;cp=36.0224~41.5156&amp;sp=point.36.0224_41.5156","Maplink3")</f>
        <v>Maplink3</v>
      </c>
    </row>
    <row r="956" spans="1:51" x14ac:dyDescent="0.2">
      <c r="A956" s="102">
        <v>33425</v>
      </c>
      <c r="B956" s="103" t="s">
        <v>35</v>
      </c>
      <c r="C956" s="103" t="s">
        <v>98</v>
      </c>
      <c r="D956" s="103" t="s">
        <v>1962</v>
      </c>
      <c r="E956" s="103" t="s">
        <v>1963</v>
      </c>
      <c r="F956" s="103">
        <v>35.969123000000003</v>
      </c>
      <c r="G956" s="103">
        <v>41.657718600000003</v>
      </c>
      <c r="H956" s="102">
        <v>76</v>
      </c>
      <c r="I956" s="102">
        <v>456</v>
      </c>
      <c r="J956" s="103"/>
      <c r="K956" s="103"/>
      <c r="L956" s="103"/>
      <c r="M956" s="103">
        <v>72</v>
      </c>
      <c r="N956" s="103">
        <v>4</v>
      </c>
      <c r="O956" s="103"/>
      <c r="P956" s="103"/>
      <c r="Q956" s="103"/>
      <c r="R956" s="103"/>
      <c r="S956" s="103"/>
      <c r="T956" s="103"/>
      <c r="U956" s="103"/>
      <c r="V956" s="103"/>
      <c r="W956" s="103"/>
      <c r="X956" s="103"/>
      <c r="Y956" s="103"/>
      <c r="Z956" s="103"/>
      <c r="AA956" s="103"/>
      <c r="AB956" s="103"/>
      <c r="AC956" s="103"/>
      <c r="AD956" s="103"/>
      <c r="AE956" s="103"/>
      <c r="AF956" s="103"/>
      <c r="AG956" s="103">
        <v>76</v>
      </c>
      <c r="AH956" s="103"/>
      <c r="AI956" s="103"/>
      <c r="AJ956" s="103"/>
      <c r="AK956" s="103"/>
      <c r="AL956" s="103"/>
      <c r="AM956" s="103"/>
      <c r="AN956" s="103"/>
      <c r="AO956" s="103"/>
      <c r="AP956" s="103"/>
      <c r="AQ956" s="103"/>
      <c r="AR956" s="103"/>
      <c r="AS956" s="103">
        <v>76</v>
      </c>
      <c r="AT956" s="103"/>
      <c r="AU956" s="103"/>
      <c r="AV956" s="103"/>
      <c r="AW956" s="104" t="str">
        <f>HYPERLINK("http://www.openstreetmap.org/?mlat=35.9691&amp;mlon=41.6577&amp;zoom=12#map=12/35.9691/41.6577","Maplink1")</f>
        <v>Maplink1</v>
      </c>
      <c r="AX956" s="104" t="str">
        <f>HYPERLINK("https://www.google.iq/maps/search/+35.9691,41.6577/@35.9691,41.6577,14z?hl=en","Maplink2")</f>
        <v>Maplink2</v>
      </c>
      <c r="AY956" s="104" t="str">
        <f>HYPERLINK("http://www.bing.com/maps/?lvl=14&amp;sty=h&amp;cp=35.9691~41.6577&amp;sp=point.35.9691_41.6577","Maplink3")</f>
        <v>Maplink3</v>
      </c>
    </row>
    <row r="957" spans="1:51" x14ac:dyDescent="0.2">
      <c r="A957" s="102">
        <v>33637</v>
      </c>
      <c r="B957" s="103" t="s">
        <v>35</v>
      </c>
      <c r="C957" s="103" t="s">
        <v>98</v>
      </c>
      <c r="D957" s="103" t="s">
        <v>1964</v>
      </c>
      <c r="E957" s="103" t="s">
        <v>1965</v>
      </c>
      <c r="F957" s="103">
        <v>36.007790999999997</v>
      </c>
      <c r="G957" s="103">
        <v>41.360576999999999</v>
      </c>
      <c r="H957" s="102">
        <v>211</v>
      </c>
      <c r="I957" s="102">
        <v>1266</v>
      </c>
      <c r="J957" s="103"/>
      <c r="K957" s="103"/>
      <c r="L957" s="103"/>
      <c r="M957" s="103">
        <v>211</v>
      </c>
      <c r="N957" s="103"/>
      <c r="O957" s="103"/>
      <c r="P957" s="103"/>
      <c r="Q957" s="103"/>
      <c r="R957" s="103"/>
      <c r="S957" s="103"/>
      <c r="T957" s="103"/>
      <c r="U957" s="103"/>
      <c r="V957" s="103"/>
      <c r="W957" s="103"/>
      <c r="X957" s="103"/>
      <c r="Y957" s="103"/>
      <c r="Z957" s="103"/>
      <c r="AA957" s="103"/>
      <c r="AB957" s="103"/>
      <c r="AC957" s="103"/>
      <c r="AD957" s="103"/>
      <c r="AE957" s="103"/>
      <c r="AF957" s="103"/>
      <c r="AG957" s="103">
        <v>211</v>
      </c>
      <c r="AH957" s="103"/>
      <c r="AI957" s="103"/>
      <c r="AJ957" s="103"/>
      <c r="AK957" s="103"/>
      <c r="AL957" s="103"/>
      <c r="AM957" s="103"/>
      <c r="AN957" s="103"/>
      <c r="AO957" s="103"/>
      <c r="AP957" s="103"/>
      <c r="AQ957" s="103"/>
      <c r="AR957" s="103"/>
      <c r="AS957" s="103">
        <v>211</v>
      </c>
      <c r="AT957" s="103"/>
      <c r="AU957" s="103"/>
      <c r="AV957" s="103"/>
      <c r="AW957" s="104" t="str">
        <f>HYPERLINK("http://www.openstreetmap.org/?mlat=36.0078&amp;mlon=41.3606&amp;zoom=12#map=12/36.0078/41.3606","Maplink1")</f>
        <v>Maplink1</v>
      </c>
      <c r="AX957" s="104" t="str">
        <f>HYPERLINK("https://www.google.iq/maps/search/+36.0078,41.3606/@36.0078,41.3606,14z?hl=en","Maplink2")</f>
        <v>Maplink2</v>
      </c>
      <c r="AY957" s="104" t="str">
        <f>HYPERLINK("http://www.bing.com/maps/?lvl=14&amp;sty=h&amp;cp=36.0078~41.3606&amp;sp=point.36.0078_41.3606","Maplink3")</f>
        <v>Maplink3</v>
      </c>
    </row>
    <row r="958" spans="1:51" x14ac:dyDescent="0.2">
      <c r="A958" s="102">
        <v>34026</v>
      </c>
      <c r="B958" s="103" t="s">
        <v>35</v>
      </c>
      <c r="C958" s="103" t="s">
        <v>98</v>
      </c>
      <c r="D958" s="103" t="s">
        <v>1966</v>
      </c>
      <c r="E958" s="103" t="s">
        <v>1967</v>
      </c>
      <c r="F958" s="103">
        <v>36.015954999999998</v>
      </c>
      <c r="G958" s="103">
        <v>41.826559000000003</v>
      </c>
      <c r="H958" s="102">
        <v>42</v>
      </c>
      <c r="I958" s="102">
        <v>252</v>
      </c>
      <c r="J958" s="103"/>
      <c r="K958" s="103"/>
      <c r="L958" s="103"/>
      <c r="M958" s="103">
        <v>31</v>
      </c>
      <c r="N958" s="103">
        <v>11</v>
      </c>
      <c r="O958" s="103"/>
      <c r="P958" s="103"/>
      <c r="Q958" s="103"/>
      <c r="R958" s="103"/>
      <c r="S958" s="103"/>
      <c r="T958" s="103"/>
      <c r="U958" s="103"/>
      <c r="V958" s="103"/>
      <c r="W958" s="103"/>
      <c r="X958" s="103"/>
      <c r="Y958" s="103">
        <v>2</v>
      </c>
      <c r="Z958" s="103"/>
      <c r="AA958" s="103">
        <v>7</v>
      </c>
      <c r="AB958" s="103"/>
      <c r="AC958" s="103"/>
      <c r="AD958" s="103"/>
      <c r="AE958" s="103"/>
      <c r="AF958" s="103"/>
      <c r="AG958" s="103">
        <v>33</v>
      </c>
      <c r="AH958" s="103"/>
      <c r="AI958" s="103"/>
      <c r="AJ958" s="103"/>
      <c r="AK958" s="103"/>
      <c r="AL958" s="103"/>
      <c r="AM958" s="103"/>
      <c r="AN958" s="103"/>
      <c r="AO958" s="103"/>
      <c r="AP958" s="103"/>
      <c r="AQ958" s="103"/>
      <c r="AR958" s="103"/>
      <c r="AS958" s="103">
        <v>42</v>
      </c>
      <c r="AT958" s="103"/>
      <c r="AU958" s="103"/>
      <c r="AV958" s="103"/>
      <c r="AW958" s="104" t="str">
        <f>HYPERLINK("http://www.openstreetmap.org/?mlat=36.016&amp;mlon=41.8266&amp;zoom=12#map=12/36.016/41.8266","Maplink1")</f>
        <v>Maplink1</v>
      </c>
      <c r="AX958" s="104" t="str">
        <f>HYPERLINK("https://www.google.iq/maps/search/+36.016,41.8266/@36.016,41.8266,14z?hl=en","Maplink2")</f>
        <v>Maplink2</v>
      </c>
      <c r="AY958" s="104" t="str">
        <f>HYPERLINK("http://www.bing.com/maps/?lvl=14&amp;sty=h&amp;cp=36.016~41.8266&amp;sp=point.36.016_41.8266","Maplink3")</f>
        <v>Maplink3</v>
      </c>
    </row>
    <row r="959" spans="1:51" x14ac:dyDescent="0.2">
      <c r="A959" s="102">
        <v>34072</v>
      </c>
      <c r="B959" s="103" t="s">
        <v>35</v>
      </c>
      <c r="C959" s="103" t="s">
        <v>98</v>
      </c>
      <c r="D959" s="103" t="s">
        <v>3898</v>
      </c>
      <c r="E959" s="103" t="s">
        <v>3899</v>
      </c>
      <c r="F959" s="103">
        <v>35.834112900000001</v>
      </c>
      <c r="G959" s="103">
        <v>42.090964</v>
      </c>
      <c r="H959" s="102">
        <v>15</v>
      </c>
      <c r="I959" s="102">
        <v>90</v>
      </c>
      <c r="J959" s="103"/>
      <c r="K959" s="103"/>
      <c r="L959" s="103"/>
      <c r="M959" s="103">
        <v>15</v>
      </c>
      <c r="N959" s="103"/>
      <c r="O959" s="103"/>
      <c r="P959" s="103"/>
      <c r="Q959" s="103"/>
      <c r="R959" s="103"/>
      <c r="S959" s="103"/>
      <c r="T959" s="103"/>
      <c r="U959" s="103"/>
      <c r="V959" s="103"/>
      <c r="W959" s="103"/>
      <c r="X959" s="103"/>
      <c r="Y959" s="103"/>
      <c r="Z959" s="103"/>
      <c r="AA959" s="103"/>
      <c r="AB959" s="103"/>
      <c r="AC959" s="103"/>
      <c r="AD959" s="103"/>
      <c r="AE959" s="103"/>
      <c r="AF959" s="103"/>
      <c r="AG959" s="103">
        <v>15</v>
      </c>
      <c r="AH959" s="103"/>
      <c r="AI959" s="103"/>
      <c r="AJ959" s="103"/>
      <c r="AK959" s="103"/>
      <c r="AL959" s="103"/>
      <c r="AM959" s="103"/>
      <c r="AN959" s="103"/>
      <c r="AO959" s="103"/>
      <c r="AP959" s="103"/>
      <c r="AQ959" s="103"/>
      <c r="AR959" s="103"/>
      <c r="AS959" s="103">
        <v>15</v>
      </c>
      <c r="AT959" s="103"/>
      <c r="AU959" s="103"/>
      <c r="AV959" s="103"/>
      <c r="AW959" s="104" t="str">
        <f>HYPERLINK("http://www.openstreetmap.org/?mlat=35.8341&amp;mlon=42.091&amp;zoom=12#map=12/35.8341/42.091","Maplink1")</f>
        <v>Maplink1</v>
      </c>
      <c r="AX959" s="104" t="str">
        <f>HYPERLINK("https://www.google.iq/maps/search/+35.8341,42.091/@35.8341,42.091,14z?hl=en","Maplink2")</f>
        <v>Maplink2</v>
      </c>
      <c r="AY959" s="104" t="str">
        <f>HYPERLINK("http://www.bing.com/maps/?lvl=14&amp;sty=h&amp;cp=35.8341~42.091&amp;sp=point.35.8341_42.091","Maplink3")</f>
        <v>Maplink3</v>
      </c>
    </row>
    <row r="960" spans="1:51" x14ac:dyDescent="0.2">
      <c r="A960" s="102">
        <v>34077</v>
      </c>
      <c r="B960" s="103" t="s">
        <v>35</v>
      </c>
      <c r="C960" s="103" t="s">
        <v>98</v>
      </c>
      <c r="D960" s="103" t="s">
        <v>3900</v>
      </c>
      <c r="E960" s="103" t="s">
        <v>3901</v>
      </c>
      <c r="F960" s="103">
        <v>36.274501999999998</v>
      </c>
      <c r="G960" s="103">
        <v>41.286313999999997</v>
      </c>
      <c r="H960" s="102">
        <v>90</v>
      </c>
      <c r="I960" s="102">
        <v>540</v>
      </c>
      <c r="J960" s="103"/>
      <c r="K960" s="103"/>
      <c r="L960" s="103"/>
      <c r="M960" s="103">
        <v>90</v>
      </c>
      <c r="N960" s="103"/>
      <c r="O960" s="103"/>
      <c r="P960" s="103"/>
      <c r="Q960" s="103"/>
      <c r="R960" s="103"/>
      <c r="S960" s="103"/>
      <c r="T960" s="103"/>
      <c r="U960" s="103"/>
      <c r="V960" s="103"/>
      <c r="W960" s="103"/>
      <c r="X960" s="103"/>
      <c r="Y960" s="103"/>
      <c r="Z960" s="103"/>
      <c r="AA960" s="103"/>
      <c r="AB960" s="103"/>
      <c r="AC960" s="103"/>
      <c r="AD960" s="103"/>
      <c r="AE960" s="103"/>
      <c r="AF960" s="103"/>
      <c r="AG960" s="103">
        <v>90</v>
      </c>
      <c r="AH960" s="103"/>
      <c r="AI960" s="103"/>
      <c r="AJ960" s="103"/>
      <c r="AK960" s="103"/>
      <c r="AL960" s="103"/>
      <c r="AM960" s="103"/>
      <c r="AN960" s="103"/>
      <c r="AO960" s="103"/>
      <c r="AP960" s="103"/>
      <c r="AQ960" s="103"/>
      <c r="AR960" s="103"/>
      <c r="AS960" s="103">
        <v>90</v>
      </c>
      <c r="AT960" s="103"/>
      <c r="AU960" s="103"/>
      <c r="AV960" s="103"/>
      <c r="AW960" s="104" t="str">
        <f>HYPERLINK("http://www.openstreetmap.org/?mlat=36.2745&amp;mlon=41.2863&amp;zoom=12#map=12/36.2745/41.2863","Maplink1")</f>
        <v>Maplink1</v>
      </c>
      <c r="AX960" s="104" t="str">
        <f>HYPERLINK("https://www.google.iq/maps/search/+36.2745,41.2863/@36.2745,41.2863,14z?hl=en","Maplink2")</f>
        <v>Maplink2</v>
      </c>
      <c r="AY960" s="104" t="str">
        <f>HYPERLINK("http://www.bing.com/maps/?lvl=14&amp;sty=h&amp;cp=36.2745~41.2863&amp;sp=point.36.2745_41.2863","Maplink3")</f>
        <v>Maplink3</v>
      </c>
    </row>
    <row r="961" spans="1:51" x14ac:dyDescent="0.2">
      <c r="A961" s="102">
        <v>33600</v>
      </c>
      <c r="B961" s="103" t="s">
        <v>35</v>
      </c>
      <c r="C961" s="103" t="s">
        <v>98</v>
      </c>
      <c r="D961" s="103" t="s">
        <v>1997</v>
      </c>
      <c r="E961" s="103" t="s">
        <v>1998</v>
      </c>
      <c r="F961" s="103">
        <v>36.279515000000004</v>
      </c>
      <c r="G961" s="103">
        <v>41.729884301299997</v>
      </c>
      <c r="H961" s="102">
        <v>76</v>
      </c>
      <c r="I961" s="102">
        <v>456</v>
      </c>
      <c r="J961" s="103"/>
      <c r="K961" s="103"/>
      <c r="L961" s="103"/>
      <c r="M961" s="103">
        <v>53</v>
      </c>
      <c r="N961" s="103">
        <v>23</v>
      </c>
      <c r="O961" s="103"/>
      <c r="P961" s="103"/>
      <c r="Q961" s="103"/>
      <c r="R961" s="103"/>
      <c r="S961" s="103"/>
      <c r="T961" s="103"/>
      <c r="U961" s="103"/>
      <c r="V961" s="103"/>
      <c r="W961" s="103"/>
      <c r="X961" s="103"/>
      <c r="Y961" s="103">
        <v>30</v>
      </c>
      <c r="Z961" s="103"/>
      <c r="AA961" s="103"/>
      <c r="AB961" s="103"/>
      <c r="AC961" s="103"/>
      <c r="AD961" s="103"/>
      <c r="AE961" s="103"/>
      <c r="AF961" s="103"/>
      <c r="AG961" s="103">
        <v>46</v>
      </c>
      <c r="AH961" s="103"/>
      <c r="AI961" s="103"/>
      <c r="AJ961" s="103"/>
      <c r="AK961" s="103"/>
      <c r="AL961" s="103"/>
      <c r="AM961" s="103"/>
      <c r="AN961" s="103"/>
      <c r="AO961" s="103">
        <v>76</v>
      </c>
      <c r="AP961" s="103"/>
      <c r="AQ961" s="103"/>
      <c r="AR961" s="103"/>
      <c r="AS961" s="103"/>
      <c r="AT961" s="103"/>
      <c r="AU961" s="103"/>
      <c r="AV961" s="103"/>
      <c r="AW961" s="104" t="str">
        <f>HYPERLINK("http://www.openstreetmap.org/?mlat=36.2795&amp;mlon=41.7299&amp;zoom=12#map=12/36.2795/41.7299","Maplink1")</f>
        <v>Maplink1</v>
      </c>
      <c r="AX961" s="104" t="str">
        <f>HYPERLINK("https://www.google.iq/maps/search/+36.2795,41.7299/@36.2795,41.7299,14z?hl=en","Maplink2")</f>
        <v>Maplink2</v>
      </c>
      <c r="AY961" s="104" t="str">
        <f>HYPERLINK("http://www.bing.com/maps/?lvl=14&amp;sty=h&amp;cp=36.2795~41.7299&amp;sp=point.36.2795_41.7299","Maplink3")</f>
        <v>Maplink3</v>
      </c>
    </row>
    <row r="962" spans="1:51" x14ac:dyDescent="0.2">
      <c r="A962" s="102">
        <v>33612</v>
      </c>
      <c r="B962" s="103" t="s">
        <v>35</v>
      </c>
      <c r="C962" s="103" t="s">
        <v>98</v>
      </c>
      <c r="D962" s="103" t="s">
        <v>3902</v>
      </c>
      <c r="E962" s="103" t="s">
        <v>3903</v>
      </c>
      <c r="F962" s="103">
        <v>36.305454599999997</v>
      </c>
      <c r="G962" s="103">
        <v>41.773767200000002</v>
      </c>
      <c r="H962" s="102">
        <v>12</v>
      </c>
      <c r="I962" s="102">
        <v>72</v>
      </c>
      <c r="J962" s="103"/>
      <c r="K962" s="103"/>
      <c r="L962" s="103"/>
      <c r="M962" s="103">
        <v>12</v>
      </c>
      <c r="N962" s="103"/>
      <c r="O962" s="103"/>
      <c r="P962" s="103"/>
      <c r="Q962" s="103"/>
      <c r="R962" s="103"/>
      <c r="S962" s="103"/>
      <c r="T962" s="103"/>
      <c r="U962" s="103"/>
      <c r="V962" s="103"/>
      <c r="W962" s="103"/>
      <c r="X962" s="103"/>
      <c r="Y962" s="103">
        <v>12</v>
      </c>
      <c r="Z962" s="103"/>
      <c r="AA962" s="103"/>
      <c r="AB962" s="103"/>
      <c r="AC962" s="103"/>
      <c r="AD962" s="103"/>
      <c r="AE962" s="103"/>
      <c r="AF962" s="103"/>
      <c r="AG962" s="103"/>
      <c r="AH962" s="103"/>
      <c r="AI962" s="103"/>
      <c r="AJ962" s="103"/>
      <c r="AK962" s="103"/>
      <c r="AL962" s="103"/>
      <c r="AM962" s="103"/>
      <c r="AN962" s="103"/>
      <c r="AO962" s="103">
        <v>12</v>
      </c>
      <c r="AP962" s="103"/>
      <c r="AQ962" s="103"/>
      <c r="AR962" s="103"/>
      <c r="AS962" s="103"/>
      <c r="AT962" s="103"/>
      <c r="AU962" s="103"/>
      <c r="AV962" s="103"/>
      <c r="AW962" s="104" t="str">
        <f>HYPERLINK("http://www.openstreetmap.org/?mlat=36.3055&amp;mlon=41.7738&amp;zoom=12#map=12/36.3055/41.7738","Maplink1")</f>
        <v>Maplink1</v>
      </c>
      <c r="AX962" s="104" t="str">
        <f>HYPERLINK("https://www.google.iq/maps/search/+36.3055,41.7738/@36.3055,41.7738,14z?hl=en","Maplink2")</f>
        <v>Maplink2</v>
      </c>
      <c r="AY962" s="104" t="str">
        <f>HYPERLINK("http://www.bing.com/maps/?lvl=14&amp;sty=h&amp;cp=36.3055~41.7738&amp;sp=point.36.3055_41.7738","Maplink3")</f>
        <v>Maplink3</v>
      </c>
    </row>
    <row r="963" spans="1:51" x14ac:dyDescent="0.2">
      <c r="A963" s="102">
        <v>34024</v>
      </c>
      <c r="B963" s="103" t="s">
        <v>35</v>
      </c>
      <c r="C963" s="103" t="s">
        <v>98</v>
      </c>
      <c r="D963" s="103" t="s">
        <v>1999</v>
      </c>
      <c r="E963" s="103" t="s">
        <v>2000</v>
      </c>
      <c r="F963" s="103">
        <v>35.992432000000001</v>
      </c>
      <c r="G963" s="103">
        <v>41.922635999999997</v>
      </c>
      <c r="H963" s="102">
        <v>39</v>
      </c>
      <c r="I963" s="102">
        <v>234</v>
      </c>
      <c r="J963" s="103"/>
      <c r="K963" s="103"/>
      <c r="L963" s="103"/>
      <c r="M963" s="103">
        <v>28</v>
      </c>
      <c r="N963" s="103">
        <v>11</v>
      </c>
      <c r="O963" s="103"/>
      <c r="P963" s="103"/>
      <c r="Q963" s="103"/>
      <c r="R963" s="103"/>
      <c r="S963" s="103"/>
      <c r="T963" s="103"/>
      <c r="U963" s="103"/>
      <c r="V963" s="103"/>
      <c r="W963" s="103"/>
      <c r="X963" s="103"/>
      <c r="Y963" s="103"/>
      <c r="Z963" s="103"/>
      <c r="AA963" s="103"/>
      <c r="AB963" s="103"/>
      <c r="AC963" s="103"/>
      <c r="AD963" s="103"/>
      <c r="AE963" s="103"/>
      <c r="AF963" s="103"/>
      <c r="AG963" s="103">
        <v>39</v>
      </c>
      <c r="AH963" s="103"/>
      <c r="AI963" s="103"/>
      <c r="AJ963" s="103"/>
      <c r="AK963" s="103"/>
      <c r="AL963" s="103"/>
      <c r="AM963" s="103"/>
      <c r="AN963" s="103"/>
      <c r="AO963" s="103"/>
      <c r="AP963" s="103"/>
      <c r="AQ963" s="103"/>
      <c r="AR963" s="103"/>
      <c r="AS963" s="103">
        <v>39</v>
      </c>
      <c r="AT963" s="103"/>
      <c r="AU963" s="103"/>
      <c r="AV963" s="103"/>
      <c r="AW963" s="104" t="str">
        <f>HYPERLINK("http://www.openstreetmap.org/?mlat=35.9924&amp;mlon=41.9226&amp;zoom=12#map=12/35.9924/41.9226","Maplink1")</f>
        <v>Maplink1</v>
      </c>
      <c r="AX963" s="104" t="str">
        <f>HYPERLINK("https://www.google.iq/maps/search/+35.9924,41.9226/@35.9924,41.9226,14z?hl=en","Maplink2")</f>
        <v>Maplink2</v>
      </c>
      <c r="AY963" s="104" t="str">
        <f>HYPERLINK("http://www.bing.com/maps/?lvl=14&amp;sty=h&amp;cp=35.9924~41.9226&amp;sp=point.35.9924_41.9226","Maplink3")</f>
        <v>Maplink3</v>
      </c>
    </row>
    <row r="964" spans="1:51" x14ac:dyDescent="0.2">
      <c r="A964" s="102">
        <v>33429</v>
      </c>
      <c r="B964" s="103" t="s">
        <v>35</v>
      </c>
      <c r="C964" s="103" t="s">
        <v>98</v>
      </c>
      <c r="D964" s="103" t="s">
        <v>2018</v>
      </c>
      <c r="E964" s="103" t="s">
        <v>2019</v>
      </c>
      <c r="F964" s="103">
        <v>36.011263</v>
      </c>
      <c r="G964" s="103">
        <v>41.716594600000001</v>
      </c>
      <c r="H964" s="102">
        <v>110</v>
      </c>
      <c r="I964" s="102">
        <v>660</v>
      </c>
      <c r="J964" s="103"/>
      <c r="K964" s="103"/>
      <c r="L964" s="103"/>
      <c r="M964" s="103">
        <v>105</v>
      </c>
      <c r="N964" s="103">
        <v>5</v>
      </c>
      <c r="O964" s="103"/>
      <c r="P964" s="103"/>
      <c r="Q964" s="103"/>
      <c r="R964" s="103"/>
      <c r="S964" s="103"/>
      <c r="T964" s="103"/>
      <c r="U964" s="103"/>
      <c r="V964" s="103"/>
      <c r="W964" s="103"/>
      <c r="X964" s="103"/>
      <c r="Y964" s="103"/>
      <c r="Z964" s="103"/>
      <c r="AA964" s="103">
        <v>5</v>
      </c>
      <c r="AB964" s="103"/>
      <c r="AC964" s="103"/>
      <c r="AD964" s="103"/>
      <c r="AE964" s="103"/>
      <c r="AF964" s="103"/>
      <c r="AG964" s="103">
        <v>105</v>
      </c>
      <c r="AH964" s="103"/>
      <c r="AI964" s="103"/>
      <c r="AJ964" s="103"/>
      <c r="AK964" s="103"/>
      <c r="AL964" s="103"/>
      <c r="AM964" s="103"/>
      <c r="AN964" s="103"/>
      <c r="AO964" s="103"/>
      <c r="AP964" s="103"/>
      <c r="AQ964" s="103"/>
      <c r="AR964" s="103"/>
      <c r="AS964" s="103">
        <v>110</v>
      </c>
      <c r="AT964" s="103"/>
      <c r="AU964" s="103"/>
      <c r="AV964" s="103"/>
      <c r="AW964" s="104" t="str">
        <f>HYPERLINK("http://www.openstreetmap.org/?mlat=36.0113&amp;mlon=41.7166&amp;zoom=12#map=12/36.0113/41.7166","Maplink1")</f>
        <v>Maplink1</v>
      </c>
      <c r="AX964" s="104" t="str">
        <f>HYPERLINK("https://www.google.iq/maps/search/+36.0113,41.7166/@36.0113,41.7166,14z?hl=en","Maplink2")</f>
        <v>Maplink2</v>
      </c>
      <c r="AY964" s="104" t="str">
        <f>HYPERLINK("http://www.bing.com/maps/?lvl=14&amp;sty=h&amp;cp=36.0113~41.7166&amp;sp=point.36.0113_41.7166","Maplink3")</f>
        <v>Maplink3</v>
      </c>
    </row>
    <row r="965" spans="1:51" x14ac:dyDescent="0.2">
      <c r="A965" s="102">
        <v>34071</v>
      </c>
      <c r="B965" s="103" t="s">
        <v>35</v>
      </c>
      <c r="C965" s="103" t="s">
        <v>98</v>
      </c>
      <c r="D965" s="103" t="s">
        <v>3904</v>
      </c>
      <c r="E965" s="103" t="s">
        <v>3905</v>
      </c>
      <c r="F965" s="103">
        <v>35.95411</v>
      </c>
      <c r="G965" s="103">
        <v>42.146244000000003</v>
      </c>
      <c r="H965" s="102">
        <v>15</v>
      </c>
      <c r="I965" s="102">
        <v>90</v>
      </c>
      <c r="J965" s="103"/>
      <c r="K965" s="103"/>
      <c r="L965" s="103"/>
      <c r="M965" s="103">
        <v>15</v>
      </c>
      <c r="N965" s="103"/>
      <c r="O965" s="103"/>
      <c r="P965" s="103"/>
      <c r="Q965" s="103"/>
      <c r="R965" s="103"/>
      <c r="S965" s="103"/>
      <c r="T965" s="103"/>
      <c r="U965" s="103"/>
      <c r="V965" s="103"/>
      <c r="W965" s="103"/>
      <c r="X965" s="103"/>
      <c r="Y965" s="103"/>
      <c r="Z965" s="103"/>
      <c r="AA965" s="103"/>
      <c r="AB965" s="103"/>
      <c r="AC965" s="103"/>
      <c r="AD965" s="103"/>
      <c r="AE965" s="103"/>
      <c r="AF965" s="103"/>
      <c r="AG965" s="103">
        <v>15</v>
      </c>
      <c r="AH965" s="103"/>
      <c r="AI965" s="103"/>
      <c r="AJ965" s="103"/>
      <c r="AK965" s="103"/>
      <c r="AL965" s="103"/>
      <c r="AM965" s="103"/>
      <c r="AN965" s="103"/>
      <c r="AO965" s="103"/>
      <c r="AP965" s="103"/>
      <c r="AQ965" s="103"/>
      <c r="AR965" s="103"/>
      <c r="AS965" s="103">
        <v>15</v>
      </c>
      <c r="AT965" s="103"/>
      <c r="AU965" s="103"/>
      <c r="AV965" s="103"/>
      <c r="AW965" s="104" t="str">
        <f>HYPERLINK("http://www.openstreetmap.org/?mlat=35.9541&amp;mlon=42.1462&amp;zoom=12#map=12/35.9541/42.1462","Maplink1")</f>
        <v>Maplink1</v>
      </c>
      <c r="AX965" s="104" t="str">
        <f>HYPERLINK("https://www.google.iq/maps/search/+35.9541,42.1462/@35.9541,42.1462,14z?hl=en","Maplink2")</f>
        <v>Maplink2</v>
      </c>
      <c r="AY965" s="104" t="str">
        <f>HYPERLINK("http://www.bing.com/maps/?lvl=14&amp;sty=h&amp;cp=35.9541~42.1462&amp;sp=point.35.9541_42.1462","Maplink3")</f>
        <v>Maplink3</v>
      </c>
    </row>
    <row r="966" spans="1:51" x14ac:dyDescent="0.2">
      <c r="A966" s="102">
        <v>34076</v>
      </c>
      <c r="B966" s="103" t="s">
        <v>35</v>
      </c>
      <c r="C966" s="103" t="s">
        <v>98</v>
      </c>
      <c r="D966" s="103" t="s">
        <v>3906</v>
      </c>
      <c r="E966" s="103" t="s">
        <v>3907</v>
      </c>
      <c r="F966" s="103">
        <v>36.123303</v>
      </c>
      <c r="G966" s="103">
        <v>41.350901999999998</v>
      </c>
      <c r="H966" s="102">
        <v>35</v>
      </c>
      <c r="I966" s="102">
        <v>210</v>
      </c>
      <c r="J966" s="103"/>
      <c r="K966" s="103"/>
      <c r="L966" s="103"/>
      <c r="M966" s="103">
        <v>35</v>
      </c>
      <c r="N966" s="103"/>
      <c r="O966" s="103"/>
      <c r="P966" s="103"/>
      <c r="Q966" s="103"/>
      <c r="R966" s="103"/>
      <c r="S966" s="103"/>
      <c r="T966" s="103"/>
      <c r="U966" s="103"/>
      <c r="V966" s="103"/>
      <c r="W966" s="103"/>
      <c r="X966" s="103"/>
      <c r="Y966" s="103"/>
      <c r="Z966" s="103"/>
      <c r="AA966" s="103"/>
      <c r="AB966" s="103"/>
      <c r="AC966" s="103"/>
      <c r="AD966" s="103"/>
      <c r="AE966" s="103"/>
      <c r="AF966" s="103"/>
      <c r="AG966" s="103">
        <v>35</v>
      </c>
      <c r="AH966" s="103"/>
      <c r="AI966" s="103"/>
      <c r="AJ966" s="103"/>
      <c r="AK966" s="103"/>
      <c r="AL966" s="103"/>
      <c r="AM966" s="103"/>
      <c r="AN966" s="103"/>
      <c r="AO966" s="103"/>
      <c r="AP966" s="103"/>
      <c r="AQ966" s="103"/>
      <c r="AR966" s="103"/>
      <c r="AS966" s="103">
        <v>35</v>
      </c>
      <c r="AT966" s="103"/>
      <c r="AU966" s="103"/>
      <c r="AV966" s="103"/>
      <c r="AW966" s="104" t="str">
        <f>HYPERLINK("http://www.openstreetmap.org/?mlat=36.1233&amp;mlon=41.3509&amp;zoom=12#map=12/36.1233/41.3509","Maplink1")</f>
        <v>Maplink1</v>
      </c>
      <c r="AX966" s="104" t="str">
        <f>HYPERLINK("https://www.google.iq/maps/search/+36.1233,41.3509/@36.1233,41.3509,14z?hl=en","Maplink2")</f>
        <v>Maplink2</v>
      </c>
      <c r="AY966" s="104" t="str">
        <f>HYPERLINK("http://www.bing.com/maps/?lvl=14&amp;sty=h&amp;cp=36.1233~41.3509&amp;sp=point.36.1233_41.3509","Maplink3")</f>
        <v>Maplink3</v>
      </c>
    </row>
    <row r="967" spans="1:51" x14ac:dyDescent="0.2">
      <c r="A967" s="102">
        <v>33856</v>
      </c>
      <c r="B967" s="103" t="s">
        <v>35</v>
      </c>
      <c r="C967" s="103" t="s">
        <v>98</v>
      </c>
      <c r="D967" s="103" t="s">
        <v>2020</v>
      </c>
      <c r="E967" s="103" t="s">
        <v>2021</v>
      </c>
      <c r="F967" s="103">
        <v>36.083477000000002</v>
      </c>
      <c r="G967" s="103">
        <v>41.544336000000001</v>
      </c>
      <c r="H967" s="102">
        <v>25</v>
      </c>
      <c r="I967" s="102">
        <v>150</v>
      </c>
      <c r="J967" s="103"/>
      <c r="K967" s="103"/>
      <c r="L967" s="103"/>
      <c r="M967" s="103">
        <v>25</v>
      </c>
      <c r="N967" s="103"/>
      <c r="O967" s="103"/>
      <c r="P967" s="103"/>
      <c r="Q967" s="103"/>
      <c r="R967" s="103"/>
      <c r="S967" s="103"/>
      <c r="T967" s="103"/>
      <c r="U967" s="103"/>
      <c r="V967" s="103"/>
      <c r="W967" s="103"/>
      <c r="X967" s="103"/>
      <c r="Y967" s="103"/>
      <c r="Z967" s="103"/>
      <c r="AA967" s="103"/>
      <c r="AB967" s="103"/>
      <c r="AC967" s="103"/>
      <c r="AD967" s="103"/>
      <c r="AE967" s="103"/>
      <c r="AF967" s="103"/>
      <c r="AG967" s="103">
        <v>25</v>
      </c>
      <c r="AH967" s="103"/>
      <c r="AI967" s="103"/>
      <c r="AJ967" s="103"/>
      <c r="AK967" s="103"/>
      <c r="AL967" s="103"/>
      <c r="AM967" s="103"/>
      <c r="AN967" s="103"/>
      <c r="AO967" s="103"/>
      <c r="AP967" s="103"/>
      <c r="AQ967" s="103"/>
      <c r="AR967" s="103"/>
      <c r="AS967" s="103">
        <v>25</v>
      </c>
      <c r="AT967" s="103"/>
      <c r="AU967" s="103"/>
      <c r="AV967" s="103"/>
      <c r="AW967" s="104" t="str">
        <f>HYPERLINK("http://www.openstreetmap.org/?mlat=36.0835&amp;mlon=41.5443&amp;zoom=12#map=12/36.0835/41.5443","Maplink1")</f>
        <v>Maplink1</v>
      </c>
      <c r="AX967" s="104" t="str">
        <f>HYPERLINK("https://www.google.iq/maps/search/+36.0835,41.5443/@36.0835,41.5443,14z?hl=en","Maplink2")</f>
        <v>Maplink2</v>
      </c>
      <c r="AY967" s="104" t="str">
        <f>HYPERLINK("http://www.bing.com/maps/?lvl=14&amp;sty=h&amp;cp=36.0835~41.5443&amp;sp=point.36.0835_41.5443","Maplink3")</f>
        <v>Maplink3</v>
      </c>
    </row>
    <row r="968" spans="1:51" x14ac:dyDescent="0.2">
      <c r="A968" s="102">
        <v>34027</v>
      </c>
      <c r="B968" s="103" t="s">
        <v>35</v>
      </c>
      <c r="C968" s="103" t="s">
        <v>98</v>
      </c>
      <c r="D968" s="103" t="s">
        <v>2022</v>
      </c>
      <c r="E968" s="103" t="s">
        <v>2023</v>
      </c>
      <c r="F968" s="103">
        <v>36.040514000000002</v>
      </c>
      <c r="G968" s="103">
        <v>41.788988000000003</v>
      </c>
      <c r="H968" s="102">
        <v>58</v>
      </c>
      <c r="I968" s="102">
        <v>348</v>
      </c>
      <c r="J968" s="103"/>
      <c r="K968" s="103"/>
      <c r="L968" s="103"/>
      <c r="M968" s="103">
        <v>58</v>
      </c>
      <c r="N968" s="103"/>
      <c r="O968" s="103"/>
      <c r="P968" s="103"/>
      <c r="Q968" s="103"/>
      <c r="R968" s="103"/>
      <c r="S968" s="103"/>
      <c r="T968" s="103"/>
      <c r="U968" s="103"/>
      <c r="V968" s="103"/>
      <c r="W968" s="103"/>
      <c r="X968" s="103"/>
      <c r="Y968" s="103">
        <v>8</v>
      </c>
      <c r="Z968" s="103"/>
      <c r="AA968" s="103">
        <v>10</v>
      </c>
      <c r="AB968" s="103"/>
      <c r="AC968" s="103"/>
      <c r="AD968" s="103"/>
      <c r="AE968" s="103"/>
      <c r="AF968" s="103"/>
      <c r="AG968" s="103">
        <v>40</v>
      </c>
      <c r="AH968" s="103"/>
      <c r="AI968" s="103"/>
      <c r="AJ968" s="103"/>
      <c r="AK968" s="103"/>
      <c r="AL968" s="103"/>
      <c r="AM968" s="103"/>
      <c r="AN968" s="103"/>
      <c r="AO968" s="103"/>
      <c r="AP968" s="103"/>
      <c r="AQ968" s="103"/>
      <c r="AR968" s="103"/>
      <c r="AS968" s="103">
        <v>58</v>
      </c>
      <c r="AT968" s="103"/>
      <c r="AU968" s="103"/>
      <c r="AV968" s="103"/>
      <c r="AW968" s="104" t="str">
        <f>HYPERLINK("http://www.openstreetmap.org/?mlat=36.0405&amp;mlon=41.789&amp;zoom=12#map=12/36.0405/41.789","Maplink1")</f>
        <v>Maplink1</v>
      </c>
      <c r="AX968" s="104" t="str">
        <f>HYPERLINK("https://www.google.iq/maps/search/+36.0405,41.789/@36.0405,41.789,14z?hl=en","Maplink2")</f>
        <v>Maplink2</v>
      </c>
      <c r="AY968" s="104" t="str">
        <f>HYPERLINK("http://www.bing.com/maps/?lvl=14&amp;sty=h&amp;cp=36.0405~41.789&amp;sp=point.36.0405_41.789","Maplink3")</f>
        <v>Maplink3</v>
      </c>
    </row>
    <row r="969" spans="1:51" x14ac:dyDescent="0.2">
      <c r="A969" s="102">
        <v>33933</v>
      </c>
      <c r="B969" s="103" t="s">
        <v>35</v>
      </c>
      <c r="C969" s="103" t="s">
        <v>98</v>
      </c>
      <c r="D969" s="103" t="s">
        <v>3908</v>
      </c>
      <c r="E969" s="103" t="s">
        <v>3909</v>
      </c>
      <c r="F969" s="103">
        <v>36.149003</v>
      </c>
      <c r="G969" s="103">
        <v>41.847569</v>
      </c>
      <c r="H969" s="102">
        <v>29</v>
      </c>
      <c r="I969" s="102">
        <v>174</v>
      </c>
      <c r="J969" s="103"/>
      <c r="K969" s="103"/>
      <c r="L969" s="103"/>
      <c r="M969" s="103">
        <v>29</v>
      </c>
      <c r="N969" s="103"/>
      <c r="O969" s="103"/>
      <c r="P969" s="103"/>
      <c r="Q969" s="103"/>
      <c r="R969" s="103"/>
      <c r="S969" s="103"/>
      <c r="T969" s="103"/>
      <c r="U969" s="103"/>
      <c r="V969" s="103"/>
      <c r="W969" s="103"/>
      <c r="X969" s="103"/>
      <c r="Y969" s="103"/>
      <c r="Z969" s="103"/>
      <c r="AA969" s="103"/>
      <c r="AB969" s="103"/>
      <c r="AC969" s="103"/>
      <c r="AD969" s="103"/>
      <c r="AE969" s="103"/>
      <c r="AF969" s="103"/>
      <c r="AG969" s="103">
        <v>29</v>
      </c>
      <c r="AH969" s="103"/>
      <c r="AI969" s="103"/>
      <c r="AJ969" s="103"/>
      <c r="AK969" s="103"/>
      <c r="AL969" s="103"/>
      <c r="AM969" s="103"/>
      <c r="AN969" s="103"/>
      <c r="AO969" s="103"/>
      <c r="AP969" s="103"/>
      <c r="AQ969" s="103"/>
      <c r="AR969" s="103"/>
      <c r="AS969" s="103">
        <v>29</v>
      </c>
      <c r="AT969" s="103"/>
      <c r="AU969" s="103"/>
      <c r="AV969" s="103"/>
      <c r="AW969" s="104" t="str">
        <f>HYPERLINK("http://www.openstreetmap.org/?mlat=36.149&amp;mlon=41.8476&amp;zoom=12#map=12/36.149/41.8476","Maplink1")</f>
        <v>Maplink1</v>
      </c>
      <c r="AX969" s="104" t="str">
        <f>HYPERLINK("https://www.google.iq/maps/search/+36.149,41.8476/@36.149,41.8476,14z?hl=en","Maplink2")</f>
        <v>Maplink2</v>
      </c>
      <c r="AY969" s="104" t="str">
        <f>HYPERLINK("http://www.bing.com/maps/?lvl=14&amp;sty=h&amp;cp=36.149~41.8476&amp;sp=point.36.149_41.8476","Maplink3")</f>
        <v>Maplink3</v>
      </c>
    </row>
    <row r="970" spans="1:51" x14ac:dyDescent="0.2">
      <c r="A970" s="102">
        <v>34058</v>
      </c>
      <c r="B970" s="103" t="s">
        <v>35</v>
      </c>
      <c r="C970" s="103" t="s">
        <v>98</v>
      </c>
      <c r="D970" s="103" t="s">
        <v>3910</v>
      </c>
      <c r="E970" s="103" t="s">
        <v>3911</v>
      </c>
      <c r="F970" s="103">
        <v>36.034120999999999</v>
      </c>
      <c r="G970" s="103">
        <v>42.190159000000001</v>
      </c>
      <c r="H970" s="102">
        <v>15</v>
      </c>
      <c r="I970" s="102">
        <v>90</v>
      </c>
      <c r="J970" s="103"/>
      <c r="K970" s="103"/>
      <c r="L970" s="103"/>
      <c r="M970" s="103">
        <v>15</v>
      </c>
      <c r="N970" s="103"/>
      <c r="O970" s="103"/>
      <c r="P970" s="103"/>
      <c r="Q970" s="103"/>
      <c r="R970" s="103"/>
      <c r="S970" s="103"/>
      <c r="T970" s="103"/>
      <c r="U970" s="103"/>
      <c r="V970" s="103"/>
      <c r="W970" s="103"/>
      <c r="X970" s="103"/>
      <c r="Y970" s="103"/>
      <c r="Z970" s="103"/>
      <c r="AA970" s="103"/>
      <c r="AB970" s="103"/>
      <c r="AC970" s="103"/>
      <c r="AD970" s="103"/>
      <c r="AE970" s="103"/>
      <c r="AF970" s="103"/>
      <c r="AG970" s="103">
        <v>15</v>
      </c>
      <c r="AH970" s="103"/>
      <c r="AI970" s="103"/>
      <c r="AJ970" s="103"/>
      <c r="AK970" s="103"/>
      <c r="AL970" s="103"/>
      <c r="AM970" s="103"/>
      <c r="AN970" s="103"/>
      <c r="AO970" s="103"/>
      <c r="AP970" s="103"/>
      <c r="AQ970" s="103"/>
      <c r="AR970" s="103"/>
      <c r="AS970" s="103">
        <v>15</v>
      </c>
      <c r="AT970" s="103"/>
      <c r="AU970" s="103"/>
      <c r="AV970" s="103"/>
      <c r="AW970" s="104" t="str">
        <f>HYPERLINK("http://www.openstreetmap.org/?mlat=36.0341&amp;mlon=42.1902&amp;zoom=12#map=12/36.0341/42.1902","Maplink1")</f>
        <v>Maplink1</v>
      </c>
      <c r="AX970" s="104" t="str">
        <f>HYPERLINK("https://www.google.iq/maps/search/+36.0341,42.1902/@36.0341,42.1902,14z?hl=en","Maplink2")</f>
        <v>Maplink2</v>
      </c>
      <c r="AY970" s="104" t="str">
        <f>HYPERLINK("http://www.bing.com/maps/?lvl=14&amp;sty=h&amp;cp=36.0341~42.1902&amp;sp=point.36.0341_42.1902","Maplink3")</f>
        <v>Maplink3</v>
      </c>
    </row>
    <row r="971" spans="1:51" x14ac:dyDescent="0.2">
      <c r="A971" s="102">
        <v>34008</v>
      </c>
      <c r="B971" s="103" t="s">
        <v>35</v>
      </c>
      <c r="C971" s="103" t="s">
        <v>98</v>
      </c>
      <c r="D971" s="103" t="s">
        <v>2007</v>
      </c>
      <c r="E971" s="103" t="s">
        <v>2008</v>
      </c>
      <c r="F971" s="103">
        <v>36.044508999999998</v>
      </c>
      <c r="G971" s="103">
        <v>41.714508000000002</v>
      </c>
      <c r="H971" s="102">
        <v>357</v>
      </c>
      <c r="I971" s="102">
        <v>2142</v>
      </c>
      <c r="J971" s="103"/>
      <c r="K971" s="103"/>
      <c r="L971" s="103"/>
      <c r="M971" s="103">
        <v>332</v>
      </c>
      <c r="N971" s="103">
        <v>25</v>
      </c>
      <c r="O971" s="103"/>
      <c r="P971" s="103"/>
      <c r="Q971" s="103"/>
      <c r="R971" s="103"/>
      <c r="S971" s="103"/>
      <c r="T971" s="103"/>
      <c r="U971" s="103"/>
      <c r="V971" s="103"/>
      <c r="W971" s="103">
        <v>10</v>
      </c>
      <c r="X971" s="103"/>
      <c r="Y971" s="103"/>
      <c r="Z971" s="103"/>
      <c r="AA971" s="103"/>
      <c r="AB971" s="103"/>
      <c r="AC971" s="103"/>
      <c r="AD971" s="103"/>
      <c r="AE971" s="103"/>
      <c r="AF971" s="103"/>
      <c r="AG971" s="103">
        <v>347</v>
      </c>
      <c r="AH971" s="103"/>
      <c r="AI971" s="103"/>
      <c r="AJ971" s="103"/>
      <c r="AK971" s="103"/>
      <c r="AL971" s="103"/>
      <c r="AM971" s="103"/>
      <c r="AN971" s="103"/>
      <c r="AO971" s="103"/>
      <c r="AP971" s="103"/>
      <c r="AQ971" s="103"/>
      <c r="AR971" s="103"/>
      <c r="AS971" s="103">
        <v>357</v>
      </c>
      <c r="AT971" s="103"/>
      <c r="AU971" s="103"/>
      <c r="AV971" s="103"/>
      <c r="AW971" s="104" t="str">
        <f>HYPERLINK("http://www.openstreetmap.org/?mlat=36.0445&amp;mlon=41.7145&amp;zoom=12#map=12/36.0445/41.7145","Maplink1")</f>
        <v>Maplink1</v>
      </c>
      <c r="AX971" s="104" t="str">
        <f>HYPERLINK("https://www.google.iq/maps/search/+36.0445,41.7145/@36.0445,41.7145,14z?hl=en","Maplink2")</f>
        <v>Maplink2</v>
      </c>
      <c r="AY971" s="104" t="str">
        <f>HYPERLINK("http://www.bing.com/maps/?lvl=14&amp;sty=h&amp;cp=36.0445~41.7145&amp;sp=point.36.0445_41.7145","Maplink3")</f>
        <v>Maplink3</v>
      </c>
    </row>
    <row r="972" spans="1:51" x14ac:dyDescent="0.2">
      <c r="A972" s="102">
        <v>34025</v>
      </c>
      <c r="B972" s="103" t="s">
        <v>35</v>
      </c>
      <c r="C972" s="103" t="s">
        <v>98</v>
      </c>
      <c r="D972" s="103" t="s">
        <v>2009</v>
      </c>
      <c r="E972" s="103" t="s">
        <v>2010</v>
      </c>
      <c r="F972" s="103">
        <v>36.006650999999998</v>
      </c>
      <c r="G972" s="103">
        <v>41.863601000000003</v>
      </c>
      <c r="H972" s="102">
        <v>22</v>
      </c>
      <c r="I972" s="102">
        <v>132</v>
      </c>
      <c r="J972" s="103"/>
      <c r="K972" s="103"/>
      <c r="L972" s="103"/>
      <c r="M972" s="103">
        <v>16</v>
      </c>
      <c r="N972" s="103">
        <v>6</v>
      </c>
      <c r="O972" s="103"/>
      <c r="P972" s="103"/>
      <c r="Q972" s="103"/>
      <c r="R972" s="103"/>
      <c r="S972" s="103"/>
      <c r="T972" s="103"/>
      <c r="U972" s="103"/>
      <c r="V972" s="103"/>
      <c r="W972" s="103"/>
      <c r="X972" s="103"/>
      <c r="Y972" s="103"/>
      <c r="Z972" s="103"/>
      <c r="AA972" s="103"/>
      <c r="AB972" s="103"/>
      <c r="AC972" s="103"/>
      <c r="AD972" s="103"/>
      <c r="AE972" s="103"/>
      <c r="AF972" s="103"/>
      <c r="AG972" s="103">
        <v>22</v>
      </c>
      <c r="AH972" s="103"/>
      <c r="AI972" s="103"/>
      <c r="AJ972" s="103"/>
      <c r="AK972" s="103"/>
      <c r="AL972" s="103"/>
      <c r="AM972" s="103"/>
      <c r="AN972" s="103"/>
      <c r="AO972" s="103"/>
      <c r="AP972" s="103"/>
      <c r="AQ972" s="103"/>
      <c r="AR972" s="103"/>
      <c r="AS972" s="103">
        <v>22</v>
      </c>
      <c r="AT972" s="103"/>
      <c r="AU972" s="103"/>
      <c r="AV972" s="103"/>
      <c r="AW972" s="104" t="str">
        <f>HYPERLINK("http://www.openstreetmap.org/?mlat=36.0067&amp;mlon=41.8636&amp;zoom=12#map=12/36.0067/41.8636","Maplink1")</f>
        <v>Maplink1</v>
      </c>
      <c r="AX972" s="104" t="str">
        <f>HYPERLINK("https://www.google.iq/maps/search/+36.0067,41.8636/@36.0067,41.8636,14z?hl=en","Maplink2")</f>
        <v>Maplink2</v>
      </c>
      <c r="AY972" s="104" t="str">
        <f>HYPERLINK("http://www.bing.com/maps/?lvl=14&amp;sty=h&amp;cp=36.0067~41.8636&amp;sp=point.36.0067_41.8636","Maplink3")</f>
        <v>Maplink3</v>
      </c>
    </row>
    <row r="973" spans="1:51" x14ac:dyDescent="0.2">
      <c r="A973" s="102">
        <v>34063</v>
      </c>
      <c r="B973" s="103" t="s">
        <v>35</v>
      </c>
      <c r="C973" s="103" t="s">
        <v>98</v>
      </c>
      <c r="D973" s="103" t="s">
        <v>3912</v>
      </c>
      <c r="E973" s="103" t="s">
        <v>3913</v>
      </c>
      <c r="F973" s="103">
        <v>36.045529999999999</v>
      </c>
      <c r="G973" s="103">
        <v>41.903053</v>
      </c>
      <c r="H973" s="102">
        <v>9</v>
      </c>
      <c r="I973" s="102">
        <v>54</v>
      </c>
      <c r="J973" s="103"/>
      <c r="K973" s="103"/>
      <c r="L973" s="103"/>
      <c r="M973" s="103">
        <v>9</v>
      </c>
      <c r="N973" s="103"/>
      <c r="O973" s="103"/>
      <c r="P973" s="103"/>
      <c r="Q973" s="103"/>
      <c r="R973" s="103"/>
      <c r="S973" s="103"/>
      <c r="T973" s="103"/>
      <c r="U973" s="103"/>
      <c r="V973" s="103"/>
      <c r="W973" s="103"/>
      <c r="X973" s="103"/>
      <c r="Y973" s="103"/>
      <c r="Z973" s="103"/>
      <c r="AA973" s="103"/>
      <c r="AB973" s="103"/>
      <c r="AC973" s="103"/>
      <c r="AD973" s="103"/>
      <c r="AE973" s="103"/>
      <c r="AF973" s="103"/>
      <c r="AG973" s="103">
        <v>9</v>
      </c>
      <c r="AH973" s="103"/>
      <c r="AI973" s="103"/>
      <c r="AJ973" s="103"/>
      <c r="AK973" s="103"/>
      <c r="AL973" s="103"/>
      <c r="AM973" s="103"/>
      <c r="AN973" s="103"/>
      <c r="AO973" s="103"/>
      <c r="AP973" s="103"/>
      <c r="AQ973" s="103"/>
      <c r="AR973" s="103"/>
      <c r="AS973" s="103">
        <v>9</v>
      </c>
      <c r="AT973" s="103"/>
      <c r="AU973" s="103"/>
      <c r="AV973" s="103"/>
      <c r="AW973" s="104" t="str">
        <f>HYPERLINK("http://www.openstreetmap.org/?mlat=36.0455&amp;mlon=41.9031&amp;zoom=12#map=12/36.0455/41.9031","Maplink1")</f>
        <v>Maplink1</v>
      </c>
      <c r="AX973" s="104" t="str">
        <f>HYPERLINK("https://www.google.iq/maps/search/+36.0455,41.9031/@36.0455,41.9031,14z?hl=en","Maplink2")</f>
        <v>Maplink2</v>
      </c>
      <c r="AY973" s="104" t="str">
        <f>HYPERLINK("http://www.bing.com/maps/?lvl=14&amp;sty=h&amp;cp=36.0455~41.9031&amp;sp=point.36.0455_41.9031","Maplink3")</f>
        <v>Maplink3</v>
      </c>
    </row>
    <row r="974" spans="1:51" x14ac:dyDescent="0.2">
      <c r="A974" s="102">
        <v>33624</v>
      </c>
      <c r="B974" s="103" t="s">
        <v>35</v>
      </c>
      <c r="C974" s="103" t="s">
        <v>98</v>
      </c>
      <c r="D974" s="103" t="s">
        <v>3914</v>
      </c>
      <c r="E974" s="103" t="s">
        <v>3915</v>
      </c>
      <c r="F974" s="103">
        <v>36.149441699999997</v>
      </c>
      <c r="G974" s="103">
        <v>41.816552199999997</v>
      </c>
      <c r="H974" s="102">
        <v>19</v>
      </c>
      <c r="I974" s="102">
        <v>114</v>
      </c>
      <c r="J974" s="103"/>
      <c r="K974" s="103"/>
      <c r="L974" s="103"/>
      <c r="M974" s="103">
        <v>19</v>
      </c>
      <c r="N974" s="103"/>
      <c r="O974" s="103"/>
      <c r="P974" s="103"/>
      <c r="Q974" s="103"/>
      <c r="R974" s="103"/>
      <c r="S974" s="103"/>
      <c r="T974" s="103"/>
      <c r="U974" s="103"/>
      <c r="V974" s="103"/>
      <c r="W974" s="103"/>
      <c r="X974" s="103"/>
      <c r="Y974" s="103"/>
      <c r="Z974" s="103"/>
      <c r="AA974" s="103"/>
      <c r="AB974" s="103"/>
      <c r="AC974" s="103"/>
      <c r="AD974" s="103"/>
      <c r="AE974" s="103"/>
      <c r="AF974" s="103"/>
      <c r="AG974" s="103">
        <v>19</v>
      </c>
      <c r="AH974" s="103"/>
      <c r="AI974" s="103"/>
      <c r="AJ974" s="103"/>
      <c r="AK974" s="103"/>
      <c r="AL974" s="103"/>
      <c r="AM974" s="103"/>
      <c r="AN974" s="103"/>
      <c r="AO974" s="103"/>
      <c r="AP974" s="103"/>
      <c r="AQ974" s="103"/>
      <c r="AR974" s="103"/>
      <c r="AS974" s="103">
        <v>19</v>
      </c>
      <c r="AT974" s="103"/>
      <c r="AU974" s="103"/>
      <c r="AV974" s="103"/>
      <c r="AW974" s="104" t="str">
        <f>HYPERLINK("http://www.openstreetmap.org/?mlat=36.1494&amp;mlon=41.8166&amp;zoom=12#map=12/36.1494/41.8166","Maplink1")</f>
        <v>Maplink1</v>
      </c>
      <c r="AX974" s="104" t="str">
        <f>HYPERLINK("https://www.google.iq/maps/search/+36.1494,41.8166/@36.1494,41.8166,14z?hl=en","Maplink2")</f>
        <v>Maplink2</v>
      </c>
      <c r="AY974" s="104" t="str">
        <f>HYPERLINK("http://www.bing.com/maps/?lvl=14&amp;sty=h&amp;cp=36.1494~41.8166&amp;sp=point.36.1494_41.8166","Maplink3")</f>
        <v>Maplink3</v>
      </c>
    </row>
    <row r="975" spans="1:51" x14ac:dyDescent="0.2">
      <c r="A975" s="102">
        <v>34030</v>
      </c>
      <c r="B975" s="103" t="s">
        <v>35</v>
      </c>
      <c r="C975" s="103" t="s">
        <v>98</v>
      </c>
      <c r="D975" s="103" t="s">
        <v>2001</v>
      </c>
      <c r="E975" s="103" t="s">
        <v>2002</v>
      </c>
      <c r="F975" s="103">
        <v>36.018742000000003</v>
      </c>
      <c r="G975" s="103">
        <v>41.748227</v>
      </c>
      <c r="H975" s="102">
        <v>67</v>
      </c>
      <c r="I975" s="102">
        <v>402</v>
      </c>
      <c r="J975" s="103"/>
      <c r="K975" s="103"/>
      <c r="L975" s="103"/>
      <c r="M975" s="103">
        <v>42</v>
      </c>
      <c r="N975" s="103">
        <v>25</v>
      </c>
      <c r="O975" s="103"/>
      <c r="P975" s="103"/>
      <c r="Q975" s="103"/>
      <c r="R975" s="103"/>
      <c r="S975" s="103"/>
      <c r="T975" s="103"/>
      <c r="U975" s="103"/>
      <c r="V975" s="103"/>
      <c r="W975" s="103"/>
      <c r="X975" s="103"/>
      <c r="Y975" s="103"/>
      <c r="Z975" s="103"/>
      <c r="AA975" s="103"/>
      <c r="AB975" s="103"/>
      <c r="AC975" s="103"/>
      <c r="AD975" s="103"/>
      <c r="AE975" s="103"/>
      <c r="AF975" s="103"/>
      <c r="AG975" s="103">
        <v>67</v>
      </c>
      <c r="AH975" s="103"/>
      <c r="AI975" s="103"/>
      <c r="AJ975" s="103"/>
      <c r="AK975" s="103"/>
      <c r="AL975" s="103"/>
      <c r="AM975" s="103"/>
      <c r="AN975" s="103"/>
      <c r="AO975" s="103"/>
      <c r="AP975" s="103"/>
      <c r="AQ975" s="103"/>
      <c r="AR975" s="103"/>
      <c r="AS975" s="103">
        <v>67</v>
      </c>
      <c r="AT975" s="103"/>
      <c r="AU975" s="103"/>
      <c r="AV975" s="103"/>
      <c r="AW975" s="104" t="str">
        <f>HYPERLINK("http://www.openstreetmap.org/?mlat=36.0187&amp;mlon=41.7482&amp;zoom=12#map=12/36.0187/41.7482","Maplink1")</f>
        <v>Maplink1</v>
      </c>
      <c r="AX975" s="104" t="str">
        <f>HYPERLINK("https://www.google.iq/maps/search/+36.0187,41.7482/@36.0187,41.7482,14z?hl=en","Maplink2")</f>
        <v>Maplink2</v>
      </c>
      <c r="AY975" s="104" t="str">
        <f>HYPERLINK("http://www.bing.com/maps/?lvl=14&amp;sty=h&amp;cp=36.0187~41.7482&amp;sp=point.36.0187_41.7482","Maplink3")</f>
        <v>Maplink3</v>
      </c>
    </row>
    <row r="976" spans="1:51" x14ac:dyDescent="0.2">
      <c r="A976" s="102">
        <v>34068</v>
      </c>
      <c r="B976" s="103" t="s">
        <v>35</v>
      </c>
      <c r="C976" s="103" t="s">
        <v>98</v>
      </c>
      <c r="D976" s="103" t="s">
        <v>3916</v>
      </c>
      <c r="E976" s="103" t="s">
        <v>3917</v>
      </c>
      <c r="F976" s="103">
        <v>36.009166</v>
      </c>
      <c r="G976" s="103">
        <v>41.776904000000002</v>
      </c>
      <c r="H976" s="102">
        <v>4</v>
      </c>
      <c r="I976" s="102">
        <v>24</v>
      </c>
      <c r="J976" s="103"/>
      <c r="K976" s="103"/>
      <c r="L976" s="103"/>
      <c r="M976" s="103">
        <v>4</v>
      </c>
      <c r="N976" s="103"/>
      <c r="O976" s="103"/>
      <c r="P976" s="103"/>
      <c r="Q976" s="103"/>
      <c r="R976" s="103"/>
      <c r="S976" s="103"/>
      <c r="T976" s="103"/>
      <c r="U976" s="103"/>
      <c r="V976" s="103"/>
      <c r="W976" s="103"/>
      <c r="X976" s="103"/>
      <c r="Y976" s="103"/>
      <c r="Z976" s="103"/>
      <c r="AA976" s="103"/>
      <c r="AB976" s="103"/>
      <c r="AC976" s="103"/>
      <c r="AD976" s="103"/>
      <c r="AE976" s="103"/>
      <c r="AF976" s="103"/>
      <c r="AG976" s="103">
        <v>4</v>
      </c>
      <c r="AH976" s="103"/>
      <c r="AI976" s="103"/>
      <c r="AJ976" s="103"/>
      <c r="AK976" s="103"/>
      <c r="AL976" s="103"/>
      <c r="AM976" s="103"/>
      <c r="AN976" s="103"/>
      <c r="AO976" s="103"/>
      <c r="AP976" s="103"/>
      <c r="AQ976" s="103"/>
      <c r="AR976" s="103"/>
      <c r="AS976" s="103">
        <v>4</v>
      </c>
      <c r="AT976" s="103"/>
      <c r="AU976" s="103"/>
      <c r="AV976" s="103"/>
      <c r="AW976" s="104" t="str">
        <f>HYPERLINK("http://www.openstreetmap.org/?mlat=36.0092&amp;mlon=41.7769&amp;zoom=12#map=12/36.0092/41.7769","Maplink1")</f>
        <v>Maplink1</v>
      </c>
      <c r="AX976" s="104" t="str">
        <f>HYPERLINK("https://www.google.iq/maps/search/+36.0092,41.7769/@36.0092,41.7769,14z?hl=en","Maplink2")</f>
        <v>Maplink2</v>
      </c>
      <c r="AY976" s="104" t="str">
        <f>HYPERLINK("http://www.bing.com/maps/?lvl=14&amp;sty=h&amp;cp=36.0092~41.7769&amp;sp=point.36.0092_41.7769","Maplink3")</f>
        <v>Maplink3</v>
      </c>
    </row>
    <row r="977" spans="1:51" x14ac:dyDescent="0.2">
      <c r="A977" s="102">
        <v>33447</v>
      </c>
      <c r="B977" s="103" t="s">
        <v>35</v>
      </c>
      <c r="C977" s="103" t="s">
        <v>98</v>
      </c>
      <c r="D977" s="103" t="s">
        <v>1995</v>
      </c>
      <c r="E977" s="103" t="s">
        <v>1996</v>
      </c>
      <c r="F977" s="103">
        <v>36.107132</v>
      </c>
      <c r="G977" s="103">
        <v>41.575373999999996</v>
      </c>
      <c r="H977" s="102">
        <v>28</v>
      </c>
      <c r="I977" s="102">
        <v>168</v>
      </c>
      <c r="J977" s="103"/>
      <c r="K977" s="103"/>
      <c r="L977" s="103"/>
      <c r="M977" s="103">
        <v>28</v>
      </c>
      <c r="N977" s="103"/>
      <c r="O977" s="103"/>
      <c r="P977" s="103"/>
      <c r="Q977" s="103"/>
      <c r="R977" s="103"/>
      <c r="S977" s="103"/>
      <c r="T977" s="103"/>
      <c r="U977" s="103"/>
      <c r="V977" s="103"/>
      <c r="W977" s="103"/>
      <c r="X977" s="103"/>
      <c r="Y977" s="103"/>
      <c r="Z977" s="103"/>
      <c r="AA977" s="103"/>
      <c r="AB977" s="103"/>
      <c r="AC977" s="103"/>
      <c r="AD977" s="103"/>
      <c r="AE977" s="103"/>
      <c r="AF977" s="103"/>
      <c r="AG977" s="103">
        <v>28</v>
      </c>
      <c r="AH977" s="103"/>
      <c r="AI977" s="103"/>
      <c r="AJ977" s="103"/>
      <c r="AK977" s="103"/>
      <c r="AL977" s="103"/>
      <c r="AM977" s="103"/>
      <c r="AN977" s="103"/>
      <c r="AO977" s="103"/>
      <c r="AP977" s="103"/>
      <c r="AQ977" s="103"/>
      <c r="AR977" s="103"/>
      <c r="AS977" s="103">
        <v>28</v>
      </c>
      <c r="AT977" s="103"/>
      <c r="AU977" s="103"/>
      <c r="AV977" s="103"/>
      <c r="AW977" s="104" t="str">
        <f>HYPERLINK("http://www.openstreetmap.org/?mlat=36.1071&amp;mlon=41.5754&amp;zoom=12#map=12/36.1071/41.5754","Maplink1")</f>
        <v>Maplink1</v>
      </c>
      <c r="AX977" s="104" t="str">
        <f>HYPERLINK("https://www.google.iq/maps/search/+36.1071,41.5754/@36.1071,41.5754,14z?hl=en","Maplink2")</f>
        <v>Maplink2</v>
      </c>
      <c r="AY977" s="104" t="str">
        <f>HYPERLINK("http://www.bing.com/maps/?lvl=14&amp;sty=h&amp;cp=36.1071~41.5754&amp;sp=point.36.1071_41.5754","Maplink3")</f>
        <v>Maplink3</v>
      </c>
    </row>
    <row r="978" spans="1:51" x14ac:dyDescent="0.2">
      <c r="A978" s="102">
        <v>34060</v>
      </c>
      <c r="B978" s="103" t="s">
        <v>35</v>
      </c>
      <c r="C978" s="103" t="s">
        <v>98</v>
      </c>
      <c r="D978" s="103" t="s">
        <v>3918</v>
      </c>
      <c r="E978" s="103" t="s">
        <v>3919</v>
      </c>
      <c r="F978" s="103">
        <v>36.028816999999997</v>
      </c>
      <c r="G978" s="103">
        <v>41.794778000000001</v>
      </c>
      <c r="H978" s="102">
        <v>7</v>
      </c>
      <c r="I978" s="102">
        <v>42</v>
      </c>
      <c r="J978" s="103"/>
      <c r="K978" s="103"/>
      <c r="L978" s="103"/>
      <c r="M978" s="103">
        <v>7</v>
      </c>
      <c r="N978" s="103"/>
      <c r="O978" s="103"/>
      <c r="P978" s="103"/>
      <c r="Q978" s="103"/>
      <c r="R978" s="103"/>
      <c r="S978" s="103"/>
      <c r="T978" s="103"/>
      <c r="U978" s="103"/>
      <c r="V978" s="103"/>
      <c r="W978" s="103"/>
      <c r="X978" s="103"/>
      <c r="Y978" s="103"/>
      <c r="Z978" s="103"/>
      <c r="AA978" s="103"/>
      <c r="AB978" s="103"/>
      <c r="AC978" s="103"/>
      <c r="AD978" s="103"/>
      <c r="AE978" s="103"/>
      <c r="AF978" s="103"/>
      <c r="AG978" s="103">
        <v>7</v>
      </c>
      <c r="AH978" s="103"/>
      <c r="AI978" s="103"/>
      <c r="AJ978" s="103"/>
      <c r="AK978" s="103"/>
      <c r="AL978" s="103"/>
      <c r="AM978" s="103"/>
      <c r="AN978" s="103"/>
      <c r="AO978" s="103"/>
      <c r="AP978" s="103"/>
      <c r="AQ978" s="103"/>
      <c r="AR978" s="103"/>
      <c r="AS978" s="103">
        <v>7</v>
      </c>
      <c r="AT978" s="103"/>
      <c r="AU978" s="103"/>
      <c r="AV978" s="103"/>
      <c r="AW978" s="104" t="str">
        <f>HYPERLINK("http://www.openstreetmap.org/?mlat=36.0288&amp;mlon=41.7948&amp;zoom=12#map=12/36.0288/41.7948","Maplink1")</f>
        <v>Maplink1</v>
      </c>
      <c r="AX978" s="104" t="str">
        <f>HYPERLINK("https://www.google.iq/maps/search/+36.0288,41.7948/@36.0288,41.7948,14z?hl=en","Maplink2")</f>
        <v>Maplink2</v>
      </c>
      <c r="AY978" s="104" t="str">
        <f>HYPERLINK("http://www.bing.com/maps/?lvl=14&amp;sty=h&amp;cp=36.0288~41.7948&amp;sp=point.36.0288_41.7948","Maplink3")</f>
        <v>Maplink3</v>
      </c>
    </row>
    <row r="979" spans="1:51" x14ac:dyDescent="0.2">
      <c r="A979" s="102">
        <v>34074</v>
      </c>
      <c r="B979" s="103" t="s">
        <v>35</v>
      </c>
      <c r="C979" s="103" t="s">
        <v>98</v>
      </c>
      <c r="D979" s="103" t="s">
        <v>3920</v>
      </c>
      <c r="E979" s="103" t="s">
        <v>3921</v>
      </c>
      <c r="F979" s="103">
        <v>36.138890000000004</v>
      </c>
      <c r="G979" s="103">
        <v>41.302503999999999</v>
      </c>
      <c r="H979" s="102">
        <v>6</v>
      </c>
      <c r="I979" s="102">
        <v>36</v>
      </c>
      <c r="J979" s="103"/>
      <c r="K979" s="103"/>
      <c r="L979" s="103"/>
      <c r="M979" s="103">
        <v>6</v>
      </c>
      <c r="N979" s="103"/>
      <c r="O979" s="103"/>
      <c r="P979" s="103"/>
      <c r="Q979" s="103"/>
      <c r="R979" s="103"/>
      <c r="S979" s="103"/>
      <c r="T979" s="103"/>
      <c r="U979" s="103"/>
      <c r="V979" s="103"/>
      <c r="W979" s="103"/>
      <c r="X979" s="103"/>
      <c r="Y979" s="103"/>
      <c r="Z979" s="103"/>
      <c r="AA979" s="103"/>
      <c r="AB979" s="103"/>
      <c r="AC979" s="103"/>
      <c r="AD979" s="103"/>
      <c r="AE979" s="103"/>
      <c r="AF979" s="103"/>
      <c r="AG979" s="103">
        <v>6</v>
      </c>
      <c r="AH979" s="103"/>
      <c r="AI979" s="103"/>
      <c r="AJ979" s="103"/>
      <c r="AK979" s="103"/>
      <c r="AL979" s="103"/>
      <c r="AM979" s="103"/>
      <c r="AN979" s="103"/>
      <c r="AO979" s="103"/>
      <c r="AP979" s="103"/>
      <c r="AQ979" s="103"/>
      <c r="AR979" s="103"/>
      <c r="AS979" s="103">
        <v>6</v>
      </c>
      <c r="AT979" s="103"/>
      <c r="AU979" s="103"/>
      <c r="AV979" s="103"/>
      <c r="AW979" s="104" t="str">
        <f>HYPERLINK("http://www.openstreetmap.org/?mlat=36.1389&amp;mlon=41.3025&amp;zoom=12#map=12/36.1389/41.3025","Maplink1")</f>
        <v>Maplink1</v>
      </c>
      <c r="AX979" s="104" t="str">
        <f>HYPERLINK("https://www.google.iq/maps/search/+36.1389,41.3025/@36.1389,41.3025,14z?hl=en","Maplink2")</f>
        <v>Maplink2</v>
      </c>
      <c r="AY979" s="104" t="str">
        <f>HYPERLINK("http://www.bing.com/maps/?lvl=14&amp;sty=h&amp;cp=36.1389~41.3025&amp;sp=point.36.1389_41.3025","Maplink3")</f>
        <v>Maplink3</v>
      </c>
    </row>
    <row r="980" spans="1:51" x14ac:dyDescent="0.2">
      <c r="A980" s="102">
        <v>34094</v>
      </c>
      <c r="B980" s="103" t="s">
        <v>35</v>
      </c>
      <c r="C980" s="103" t="s">
        <v>98</v>
      </c>
      <c r="D980" s="103" t="s">
        <v>3922</v>
      </c>
      <c r="E980" s="103" t="s">
        <v>3923</v>
      </c>
      <c r="F980" s="103">
        <v>36.078752999999999</v>
      </c>
      <c r="G980" s="103">
        <v>41.673260999999997</v>
      </c>
      <c r="H980" s="102">
        <v>18</v>
      </c>
      <c r="I980" s="102">
        <v>108</v>
      </c>
      <c r="J980" s="103"/>
      <c r="K980" s="103"/>
      <c r="L980" s="103"/>
      <c r="M980" s="103">
        <v>18</v>
      </c>
      <c r="N980" s="103"/>
      <c r="O980" s="103"/>
      <c r="P980" s="103"/>
      <c r="Q980" s="103"/>
      <c r="R980" s="103"/>
      <c r="S980" s="103"/>
      <c r="T980" s="103"/>
      <c r="U980" s="103"/>
      <c r="V980" s="103"/>
      <c r="W980" s="103"/>
      <c r="X980" s="103"/>
      <c r="Y980" s="103"/>
      <c r="Z980" s="103"/>
      <c r="AA980" s="103"/>
      <c r="AB980" s="103"/>
      <c r="AC980" s="103"/>
      <c r="AD980" s="103"/>
      <c r="AE980" s="103"/>
      <c r="AF980" s="103"/>
      <c r="AG980" s="103">
        <v>18</v>
      </c>
      <c r="AH980" s="103"/>
      <c r="AI980" s="103"/>
      <c r="AJ980" s="103"/>
      <c r="AK980" s="103"/>
      <c r="AL980" s="103"/>
      <c r="AM980" s="103"/>
      <c r="AN980" s="103"/>
      <c r="AO980" s="103"/>
      <c r="AP980" s="103"/>
      <c r="AQ980" s="103"/>
      <c r="AR980" s="103"/>
      <c r="AS980" s="103">
        <v>18</v>
      </c>
      <c r="AT980" s="103"/>
      <c r="AU980" s="103"/>
      <c r="AV980" s="103"/>
      <c r="AW980" s="104" t="str">
        <f>HYPERLINK("http://www.openstreetmap.org/?mlat=36.0788&amp;mlon=41.6733&amp;zoom=12#map=12/36.0788/41.6733","Maplink1")</f>
        <v>Maplink1</v>
      </c>
      <c r="AX980" s="104" t="str">
        <f>HYPERLINK("https://www.google.iq/maps/search/+36.0788,41.6733/@36.0788,41.6733,14z?hl=en","Maplink2")</f>
        <v>Maplink2</v>
      </c>
      <c r="AY980" s="104" t="str">
        <f>HYPERLINK("http://www.bing.com/maps/?lvl=14&amp;sty=h&amp;cp=36.0788~41.6733&amp;sp=point.36.0788_41.6733","Maplink3")</f>
        <v>Maplink3</v>
      </c>
    </row>
    <row r="981" spans="1:51" x14ac:dyDescent="0.2">
      <c r="A981" s="102">
        <v>34009</v>
      </c>
      <c r="B981" s="103" t="s">
        <v>35</v>
      </c>
      <c r="C981" s="103" t="s">
        <v>98</v>
      </c>
      <c r="D981" s="103" t="s">
        <v>1958</v>
      </c>
      <c r="E981" s="103" t="s">
        <v>233</v>
      </c>
      <c r="F981" s="103">
        <v>36.049593999999999</v>
      </c>
      <c r="G981" s="103">
        <v>41.712780000000002</v>
      </c>
      <c r="H981" s="102">
        <v>400</v>
      </c>
      <c r="I981" s="102">
        <v>2400</v>
      </c>
      <c r="J981" s="103"/>
      <c r="K981" s="103"/>
      <c r="L981" s="103"/>
      <c r="M981" s="103">
        <v>380</v>
      </c>
      <c r="N981" s="103">
        <v>20</v>
      </c>
      <c r="O981" s="103"/>
      <c r="P981" s="103"/>
      <c r="Q981" s="103"/>
      <c r="R981" s="103"/>
      <c r="S981" s="103"/>
      <c r="T981" s="103"/>
      <c r="U981" s="103"/>
      <c r="V981" s="103"/>
      <c r="W981" s="103">
        <v>5</v>
      </c>
      <c r="X981" s="103"/>
      <c r="Y981" s="103"/>
      <c r="Z981" s="103"/>
      <c r="AA981" s="103"/>
      <c r="AB981" s="103"/>
      <c r="AC981" s="103"/>
      <c r="AD981" s="103"/>
      <c r="AE981" s="103"/>
      <c r="AF981" s="103"/>
      <c r="AG981" s="103">
        <v>395</v>
      </c>
      <c r="AH981" s="103"/>
      <c r="AI981" s="103"/>
      <c r="AJ981" s="103"/>
      <c r="AK981" s="103"/>
      <c r="AL981" s="103"/>
      <c r="AM981" s="103"/>
      <c r="AN981" s="103"/>
      <c r="AO981" s="103"/>
      <c r="AP981" s="103"/>
      <c r="AQ981" s="103"/>
      <c r="AR981" s="103"/>
      <c r="AS981" s="103">
        <v>400</v>
      </c>
      <c r="AT981" s="103"/>
      <c r="AU981" s="103"/>
      <c r="AV981" s="103"/>
      <c r="AW981" s="104" t="str">
        <f>HYPERLINK("http://www.openstreetmap.org/?mlat=36.0496&amp;mlon=41.7128&amp;zoom=12#map=12/36.0496/41.7128","Maplink1")</f>
        <v>Maplink1</v>
      </c>
      <c r="AX981" s="104" t="str">
        <f>HYPERLINK("https://www.google.iq/maps/search/+36.0496,41.7128/@36.0496,41.7128,14z?hl=en","Maplink2")</f>
        <v>Maplink2</v>
      </c>
      <c r="AY981" s="104" t="str">
        <f>HYPERLINK("http://www.bing.com/maps/?lvl=14&amp;sty=h&amp;cp=36.0496~41.7128&amp;sp=point.36.0496_41.7128","Maplink3")</f>
        <v>Maplink3</v>
      </c>
    </row>
    <row r="982" spans="1:51" x14ac:dyDescent="0.2">
      <c r="A982" s="102">
        <v>34031</v>
      </c>
      <c r="B982" s="103" t="s">
        <v>35</v>
      </c>
      <c r="C982" s="103" t="s">
        <v>98</v>
      </c>
      <c r="D982" s="103" t="s">
        <v>1959</v>
      </c>
      <c r="E982" s="103" t="s">
        <v>314</v>
      </c>
      <c r="F982" s="103">
        <v>36.065987999999997</v>
      </c>
      <c r="G982" s="103">
        <v>41.722729999999999</v>
      </c>
      <c r="H982" s="102">
        <v>40</v>
      </c>
      <c r="I982" s="102">
        <v>240</v>
      </c>
      <c r="J982" s="103"/>
      <c r="K982" s="103"/>
      <c r="L982" s="103"/>
      <c r="M982" s="103">
        <v>40</v>
      </c>
      <c r="N982" s="103"/>
      <c r="O982" s="103"/>
      <c r="P982" s="103"/>
      <c r="Q982" s="103"/>
      <c r="R982" s="103"/>
      <c r="S982" s="103"/>
      <c r="T982" s="103"/>
      <c r="U982" s="103"/>
      <c r="V982" s="103"/>
      <c r="W982" s="103"/>
      <c r="X982" s="103"/>
      <c r="Y982" s="103"/>
      <c r="Z982" s="103"/>
      <c r="AA982" s="103"/>
      <c r="AB982" s="103"/>
      <c r="AC982" s="103"/>
      <c r="AD982" s="103"/>
      <c r="AE982" s="103"/>
      <c r="AF982" s="103"/>
      <c r="AG982" s="103">
        <v>40</v>
      </c>
      <c r="AH982" s="103"/>
      <c r="AI982" s="103"/>
      <c r="AJ982" s="103"/>
      <c r="AK982" s="103"/>
      <c r="AL982" s="103"/>
      <c r="AM982" s="103"/>
      <c r="AN982" s="103"/>
      <c r="AO982" s="103"/>
      <c r="AP982" s="103"/>
      <c r="AQ982" s="103"/>
      <c r="AR982" s="103"/>
      <c r="AS982" s="103">
        <v>40</v>
      </c>
      <c r="AT982" s="103"/>
      <c r="AU982" s="103"/>
      <c r="AV982" s="103"/>
      <c r="AW982" s="104" t="str">
        <f>HYPERLINK("http://www.openstreetmap.org/?mlat=36.066&amp;mlon=41.7227&amp;zoom=12#map=12/36.066/41.7227","Maplink1")</f>
        <v>Maplink1</v>
      </c>
      <c r="AX982" s="104" t="str">
        <f>HYPERLINK("https://www.google.iq/maps/search/+36.066,41.7227/@36.066,41.7227,14z?hl=en","Maplink2")</f>
        <v>Maplink2</v>
      </c>
      <c r="AY982" s="104" t="str">
        <f>HYPERLINK("http://www.bing.com/maps/?lvl=14&amp;sty=h&amp;cp=36.066~41.7227&amp;sp=point.36.066_41.7227","Maplink3")</f>
        <v>Maplink3</v>
      </c>
    </row>
    <row r="983" spans="1:51" x14ac:dyDescent="0.2">
      <c r="A983" s="102">
        <v>33915</v>
      </c>
      <c r="B983" s="103" t="s">
        <v>35</v>
      </c>
      <c r="C983" s="103" t="s">
        <v>98</v>
      </c>
      <c r="D983" s="103" t="s">
        <v>3924</v>
      </c>
      <c r="E983" s="103" t="s">
        <v>3925</v>
      </c>
      <c r="F983" s="103">
        <v>35.912309999999998</v>
      </c>
      <c r="G983" s="103">
        <v>42.185485</v>
      </c>
      <c r="H983" s="102">
        <v>55</v>
      </c>
      <c r="I983" s="102">
        <v>330</v>
      </c>
      <c r="J983" s="103"/>
      <c r="K983" s="103"/>
      <c r="L983" s="103"/>
      <c r="M983" s="103">
        <v>55</v>
      </c>
      <c r="N983" s="103"/>
      <c r="O983" s="103"/>
      <c r="P983" s="103"/>
      <c r="Q983" s="103"/>
      <c r="R983" s="103"/>
      <c r="S983" s="103"/>
      <c r="T983" s="103"/>
      <c r="U983" s="103"/>
      <c r="V983" s="103"/>
      <c r="W983" s="103"/>
      <c r="X983" s="103"/>
      <c r="Y983" s="103"/>
      <c r="Z983" s="103"/>
      <c r="AA983" s="103"/>
      <c r="AB983" s="103"/>
      <c r="AC983" s="103"/>
      <c r="AD983" s="103"/>
      <c r="AE983" s="103"/>
      <c r="AF983" s="103"/>
      <c r="AG983" s="103">
        <v>55</v>
      </c>
      <c r="AH983" s="103"/>
      <c r="AI983" s="103"/>
      <c r="AJ983" s="103"/>
      <c r="AK983" s="103"/>
      <c r="AL983" s="103"/>
      <c r="AM983" s="103"/>
      <c r="AN983" s="103"/>
      <c r="AO983" s="103"/>
      <c r="AP983" s="103"/>
      <c r="AQ983" s="103"/>
      <c r="AR983" s="103"/>
      <c r="AS983" s="103">
        <v>55</v>
      </c>
      <c r="AT983" s="103"/>
      <c r="AU983" s="103"/>
      <c r="AV983" s="103"/>
      <c r="AW983" s="104" t="str">
        <f>HYPERLINK("http://www.openstreetmap.org/?mlat=35.9123&amp;mlon=42.1855&amp;zoom=12#map=12/35.9123/42.1855","Maplink1")</f>
        <v>Maplink1</v>
      </c>
      <c r="AX983" s="104" t="str">
        <f>HYPERLINK("https://www.google.iq/maps/search/+35.9123,42.1855/@35.9123,42.1855,14z?hl=en","Maplink2")</f>
        <v>Maplink2</v>
      </c>
      <c r="AY983" s="104" t="str">
        <f>HYPERLINK("http://www.bing.com/maps/?lvl=14&amp;sty=h&amp;cp=35.9123~42.1855&amp;sp=point.35.9123_42.1855","Maplink3")</f>
        <v>Maplink3</v>
      </c>
    </row>
    <row r="984" spans="1:51" x14ac:dyDescent="0.2">
      <c r="A984" s="102">
        <v>34079</v>
      </c>
      <c r="B984" s="103" t="s">
        <v>35</v>
      </c>
      <c r="C984" s="103" t="s">
        <v>98</v>
      </c>
      <c r="D984" s="103" t="s">
        <v>3926</v>
      </c>
      <c r="E984" s="103" t="s">
        <v>3927</v>
      </c>
      <c r="F984" s="103">
        <v>36.076861999999998</v>
      </c>
      <c r="G984" s="103">
        <v>41.458367000000003</v>
      </c>
      <c r="H984" s="102">
        <v>15</v>
      </c>
      <c r="I984" s="102">
        <v>90</v>
      </c>
      <c r="J984" s="103"/>
      <c r="K984" s="103"/>
      <c r="L984" s="103"/>
      <c r="M984" s="103">
        <v>15</v>
      </c>
      <c r="N984" s="103"/>
      <c r="O984" s="103"/>
      <c r="P984" s="103"/>
      <c r="Q984" s="103"/>
      <c r="R984" s="103"/>
      <c r="S984" s="103"/>
      <c r="T984" s="103"/>
      <c r="U984" s="103"/>
      <c r="V984" s="103"/>
      <c r="W984" s="103"/>
      <c r="X984" s="103"/>
      <c r="Y984" s="103"/>
      <c r="Z984" s="103"/>
      <c r="AA984" s="103"/>
      <c r="AB984" s="103"/>
      <c r="AC984" s="103"/>
      <c r="AD984" s="103"/>
      <c r="AE984" s="103"/>
      <c r="AF984" s="103"/>
      <c r="AG984" s="103">
        <v>15</v>
      </c>
      <c r="AH984" s="103"/>
      <c r="AI984" s="103"/>
      <c r="AJ984" s="103"/>
      <c r="AK984" s="103"/>
      <c r="AL984" s="103"/>
      <c r="AM984" s="103"/>
      <c r="AN984" s="103"/>
      <c r="AO984" s="103"/>
      <c r="AP984" s="103"/>
      <c r="AQ984" s="103"/>
      <c r="AR984" s="103"/>
      <c r="AS984" s="103">
        <v>15</v>
      </c>
      <c r="AT984" s="103"/>
      <c r="AU984" s="103"/>
      <c r="AV984" s="103"/>
      <c r="AW984" s="104" t="str">
        <f>HYPERLINK("http://www.openstreetmap.org/?mlat=36.0769&amp;mlon=41.4584&amp;zoom=12#map=12/36.0769/41.4584","Maplink1")</f>
        <v>Maplink1</v>
      </c>
      <c r="AX984" s="104" t="str">
        <f>HYPERLINK("https://www.google.iq/maps/search/+36.0769,41.4584/@36.0769,41.4584,14z?hl=en","Maplink2")</f>
        <v>Maplink2</v>
      </c>
      <c r="AY984" s="104" t="str">
        <f>HYPERLINK("http://www.bing.com/maps/?lvl=14&amp;sty=h&amp;cp=36.0769~41.4584&amp;sp=point.36.0769_41.4584","Maplink3")</f>
        <v>Maplink3</v>
      </c>
    </row>
    <row r="985" spans="1:51" x14ac:dyDescent="0.2">
      <c r="A985" s="102">
        <v>33928</v>
      </c>
      <c r="B985" s="103" t="s">
        <v>35</v>
      </c>
      <c r="C985" s="103" t="s">
        <v>98</v>
      </c>
      <c r="D985" s="103" t="s">
        <v>3928</v>
      </c>
      <c r="E985" s="103" t="s">
        <v>3929</v>
      </c>
      <c r="F985" s="103">
        <v>36.098016999999999</v>
      </c>
      <c r="G985" s="103">
        <v>41.464035000000003</v>
      </c>
      <c r="H985" s="102">
        <v>25</v>
      </c>
      <c r="I985" s="102">
        <v>150</v>
      </c>
      <c r="J985" s="103"/>
      <c r="K985" s="103"/>
      <c r="L985" s="103"/>
      <c r="M985" s="103">
        <v>25</v>
      </c>
      <c r="N985" s="103"/>
      <c r="O985" s="103"/>
      <c r="P985" s="103"/>
      <c r="Q985" s="103"/>
      <c r="R985" s="103"/>
      <c r="S985" s="103"/>
      <c r="T985" s="103"/>
      <c r="U985" s="103"/>
      <c r="V985" s="103"/>
      <c r="W985" s="103"/>
      <c r="X985" s="103"/>
      <c r="Y985" s="103"/>
      <c r="Z985" s="103"/>
      <c r="AA985" s="103"/>
      <c r="AB985" s="103"/>
      <c r="AC985" s="103"/>
      <c r="AD985" s="103"/>
      <c r="AE985" s="103"/>
      <c r="AF985" s="103"/>
      <c r="AG985" s="103">
        <v>25</v>
      </c>
      <c r="AH985" s="103"/>
      <c r="AI985" s="103"/>
      <c r="AJ985" s="103"/>
      <c r="AK985" s="103"/>
      <c r="AL985" s="103"/>
      <c r="AM985" s="103"/>
      <c r="AN985" s="103"/>
      <c r="AO985" s="103"/>
      <c r="AP985" s="103"/>
      <c r="AQ985" s="103"/>
      <c r="AR985" s="103"/>
      <c r="AS985" s="103">
        <v>25</v>
      </c>
      <c r="AT985" s="103"/>
      <c r="AU985" s="103"/>
      <c r="AV985" s="103"/>
      <c r="AW985" s="104" t="str">
        <f>HYPERLINK("http://www.openstreetmap.org/?mlat=36.098&amp;mlon=41.464&amp;zoom=12#map=12/36.098/41.464","Maplink1")</f>
        <v>Maplink1</v>
      </c>
      <c r="AX985" s="104" t="str">
        <f>HYPERLINK("https://www.google.iq/maps/search/+36.098,41.464/@36.098,41.464,14z?hl=en","Maplink2")</f>
        <v>Maplink2</v>
      </c>
      <c r="AY985" s="104" t="str">
        <f>HYPERLINK("http://www.bing.com/maps/?lvl=14&amp;sty=h&amp;cp=36.098~41.464&amp;sp=point.36.098_41.464","Maplink3")</f>
        <v>Maplink3</v>
      </c>
    </row>
    <row r="986" spans="1:51" x14ac:dyDescent="0.2">
      <c r="A986" s="102">
        <v>33893</v>
      </c>
      <c r="B986" s="103" t="s">
        <v>35</v>
      </c>
      <c r="C986" s="103" t="s">
        <v>98</v>
      </c>
      <c r="D986" s="103" t="s">
        <v>1985</v>
      </c>
      <c r="E986" s="103" t="s">
        <v>1986</v>
      </c>
      <c r="F986" s="103">
        <v>36.305253</v>
      </c>
      <c r="G986" s="103">
        <v>41.802878999999997</v>
      </c>
      <c r="H986" s="102">
        <v>50</v>
      </c>
      <c r="I986" s="102">
        <v>300</v>
      </c>
      <c r="J986" s="103"/>
      <c r="K986" s="103"/>
      <c r="L986" s="103"/>
      <c r="M986" s="103">
        <v>50</v>
      </c>
      <c r="N986" s="103"/>
      <c r="O986" s="103"/>
      <c r="P986" s="103"/>
      <c r="Q986" s="103"/>
      <c r="R986" s="103"/>
      <c r="S986" s="103"/>
      <c r="T986" s="103"/>
      <c r="U986" s="103"/>
      <c r="V986" s="103"/>
      <c r="W986" s="103"/>
      <c r="X986" s="103"/>
      <c r="Y986" s="103"/>
      <c r="Z986" s="103"/>
      <c r="AA986" s="103"/>
      <c r="AB986" s="103"/>
      <c r="AC986" s="103"/>
      <c r="AD986" s="103"/>
      <c r="AE986" s="103"/>
      <c r="AF986" s="103"/>
      <c r="AG986" s="103">
        <v>50</v>
      </c>
      <c r="AH986" s="103"/>
      <c r="AI986" s="103"/>
      <c r="AJ986" s="103"/>
      <c r="AK986" s="103"/>
      <c r="AL986" s="103"/>
      <c r="AM986" s="103"/>
      <c r="AN986" s="103"/>
      <c r="AO986" s="103">
        <v>50</v>
      </c>
      <c r="AP986" s="103"/>
      <c r="AQ986" s="103"/>
      <c r="AR986" s="103"/>
      <c r="AS986" s="103"/>
      <c r="AT986" s="103"/>
      <c r="AU986" s="103"/>
      <c r="AV986" s="103"/>
      <c r="AW986" s="104" t="str">
        <f>HYPERLINK("http://www.openstreetmap.org/?mlat=36.3053&amp;mlon=41.8029&amp;zoom=12#map=12/36.3053/41.8029","Maplink1")</f>
        <v>Maplink1</v>
      </c>
      <c r="AX986" s="104" t="str">
        <f>HYPERLINK("https://www.google.iq/maps/search/+36.3053,41.8029/@36.3053,41.8029,14z?hl=en","Maplink2")</f>
        <v>Maplink2</v>
      </c>
      <c r="AY986" s="104" t="str">
        <f>HYPERLINK("http://www.bing.com/maps/?lvl=14&amp;sty=h&amp;cp=36.3053~41.8029&amp;sp=point.36.3053_41.8029","Maplink3")</f>
        <v>Maplink3</v>
      </c>
    </row>
    <row r="987" spans="1:51" x14ac:dyDescent="0.2">
      <c r="A987" s="102">
        <v>34028</v>
      </c>
      <c r="B987" s="103" t="s">
        <v>35</v>
      </c>
      <c r="C987" s="103" t="s">
        <v>98</v>
      </c>
      <c r="D987" s="103" t="s">
        <v>1987</v>
      </c>
      <c r="E987" s="103" t="s">
        <v>1988</v>
      </c>
      <c r="F987" s="103">
        <v>36.099449</v>
      </c>
      <c r="G987" s="103">
        <v>41.590505999999998</v>
      </c>
      <c r="H987" s="102">
        <v>30</v>
      </c>
      <c r="I987" s="102">
        <v>180</v>
      </c>
      <c r="J987" s="103"/>
      <c r="K987" s="103"/>
      <c r="L987" s="103"/>
      <c r="M987" s="103">
        <v>30</v>
      </c>
      <c r="N987" s="103"/>
      <c r="O987" s="103"/>
      <c r="P987" s="103"/>
      <c r="Q987" s="103"/>
      <c r="R987" s="103"/>
      <c r="S987" s="103"/>
      <c r="T987" s="103"/>
      <c r="U987" s="103"/>
      <c r="V987" s="103"/>
      <c r="W987" s="103"/>
      <c r="X987" s="103"/>
      <c r="Y987" s="103"/>
      <c r="Z987" s="103"/>
      <c r="AA987" s="103"/>
      <c r="AB987" s="103"/>
      <c r="AC987" s="103"/>
      <c r="AD987" s="103"/>
      <c r="AE987" s="103"/>
      <c r="AF987" s="103"/>
      <c r="AG987" s="103">
        <v>30</v>
      </c>
      <c r="AH987" s="103"/>
      <c r="AI987" s="103"/>
      <c r="AJ987" s="103"/>
      <c r="AK987" s="103"/>
      <c r="AL987" s="103"/>
      <c r="AM987" s="103"/>
      <c r="AN987" s="103"/>
      <c r="AO987" s="103"/>
      <c r="AP987" s="103"/>
      <c r="AQ987" s="103"/>
      <c r="AR987" s="103"/>
      <c r="AS987" s="103">
        <v>30</v>
      </c>
      <c r="AT987" s="103"/>
      <c r="AU987" s="103"/>
      <c r="AV987" s="103"/>
      <c r="AW987" s="104" t="str">
        <f>HYPERLINK("http://www.openstreetmap.org/?mlat=36.0994&amp;mlon=41.5905&amp;zoom=12#map=12/36.0994/41.5905","Maplink1")</f>
        <v>Maplink1</v>
      </c>
      <c r="AX987" s="104" t="str">
        <f>HYPERLINK("https://www.google.iq/maps/search/+36.0994,41.5905/@36.0994,41.5905,14z?hl=en","Maplink2")</f>
        <v>Maplink2</v>
      </c>
      <c r="AY987" s="104" t="str">
        <f>HYPERLINK("http://www.bing.com/maps/?lvl=14&amp;sty=h&amp;cp=36.0994~41.5905&amp;sp=point.36.0994_41.5905","Maplink3")</f>
        <v>Maplink3</v>
      </c>
    </row>
    <row r="988" spans="1:51" x14ac:dyDescent="0.2">
      <c r="A988" s="102">
        <v>34085</v>
      </c>
      <c r="B988" s="103" t="s">
        <v>35</v>
      </c>
      <c r="C988" s="103" t="s">
        <v>98</v>
      </c>
      <c r="D988" s="103" t="s">
        <v>3930</v>
      </c>
      <c r="E988" s="103" t="s">
        <v>3931</v>
      </c>
      <c r="F988" s="103">
        <v>36.099946000000003</v>
      </c>
      <c r="G988" s="103">
        <v>41.632004999999999</v>
      </c>
      <c r="H988" s="102">
        <v>19</v>
      </c>
      <c r="I988" s="102">
        <v>114</v>
      </c>
      <c r="J988" s="103"/>
      <c r="K988" s="103"/>
      <c r="L988" s="103"/>
      <c r="M988" s="103">
        <v>19</v>
      </c>
      <c r="N988" s="103"/>
      <c r="O988" s="103"/>
      <c r="P988" s="103"/>
      <c r="Q988" s="103"/>
      <c r="R988" s="103"/>
      <c r="S988" s="103"/>
      <c r="T988" s="103"/>
      <c r="U988" s="103"/>
      <c r="V988" s="103"/>
      <c r="W988" s="103"/>
      <c r="X988" s="103"/>
      <c r="Y988" s="103"/>
      <c r="Z988" s="103"/>
      <c r="AA988" s="103"/>
      <c r="AB988" s="103"/>
      <c r="AC988" s="103"/>
      <c r="AD988" s="103"/>
      <c r="AE988" s="103"/>
      <c r="AF988" s="103"/>
      <c r="AG988" s="103">
        <v>19</v>
      </c>
      <c r="AH988" s="103"/>
      <c r="AI988" s="103"/>
      <c r="AJ988" s="103"/>
      <c r="AK988" s="103"/>
      <c r="AL988" s="103"/>
      <c r="AM988" s="103"/>
      <c r="AN988" s="103"/>
      <c r="AO988" s="103"/>
      <c r="AP988" s="103"/>
      <c r="AQ988" s="103"/>
      <c r="AR988" s="103"/>
      <c r="AS988" s="103">
        <v>19</v>
      </c>
      <c r="AT988" s="103"/>
      <c r="AU988" s="103"/>
      <c r="AV988" s="103"/>
      <c r="AW988" s="104" t="str">
        <f>HYPERLINK("http://www.openstreetmap.org/?mlat=36.0999&amp;mlon=41.632&amp;zoom=12#map=12/36.0999/41.632","Maplink1")</f>
        <v>Maplink1</v>
      </c>
      <c r="AX988" s="104" t="str">
        <f>HYPERLINK("https://www.google.iq/maps/search/+36.0999,41.632/@36.0999,41.632,14z?hl=en","Maplink2")</f>
        <v>Maplink2</v>
      </c>
      <c r="AY988" s="104" t="str">
        <f>HYPERLINK("http://www.bing.com/maps/?lvl=14&amp;sty=h&amp;cp=36.0999~41.632&amp;sp=point.36.0999_41.632","Maplink3")</f>
        <v>Maplink3</v>
      </c>
    </row>
    <row r="989" spans="1:51" x14ac:dyDescent="0.2">
      <c r="A989" s="102">
        <v>33907</v>
      </c>
      <c r="B989" s="103" t="s">
        <v>35</v>
      </c>
      <c r="C989" s="103" t="s">
        <v>98</v>
      </c>
      <c r="D989" s="103" t="s">
        <v>3932</v>
      </c>
      <c r="E989" s="103" t="s">
        <v>3933</v>
      </c>
      <c r="F989" s="103">
        <v>36.055568000000001</v>
      </c>
      <c r="G989" s="103">
        <v>42.160288999999999</v>
      </c>
      <c r="H989" s="102">
        <v>13</v>
      </c>
      <c r="I989" s="102">
        <v>78</v>
      </c>
      <c r="J989" s="103"/>
      <c r="K989" s="103"/>
      <c r="L989" s="103"/>
      <c r="M989" s="103">
        <v>13</v>
      </c>
      <c r="N989" s="103"/>
      <c r="O989" s="103"/>
      <c r="P989" s="103"/>
      <c r="Q989" s="103"/>
      <c r="R989" s="103"/>
      <c r="S989" s="103"/>
      <c r="T989" s="103"/>
      <c r="U989" s="103"/>
      <c r="V989" s="103"/>
      <c r="W989" s="103"/>
      <c r="X989" s="103"/>
      <c r="Y989" s="103"/>
      <c r="Z989" s="103"/>
      <c r="AA989" s="103"/>
      <c r="AB989" s="103"/>
      <c r="AC989" s="103"/>
      <c r="AD989" s="103"/>
      <c r="AE989" s="103"/>
      <c r="AF989" s="103"/>
      <c r="AG989" s="103">
        <v>13</v>
      </c>
      <c r="AH989" s="103"/>
      <c r="AI989" s="103"/>
      <c r="AJ989" s="103"/>
      <c r="AK989" s="103"/>
      <c r="AL989" s="103"/>
      <c r="AM989" s="103"/>
      <c r="AN989" s="103"/>
      <c r="AO989" s="103"/>
      <c r="AP989" s="103"/>
      <c r="AQ989" s="103"/>
      <c r="AR989" s="103"/>
      <c r="AS989" s="103">
        <v>13</v>
      </c>
      <c r="AT989" s="103"/>
      <c r="AU989" s="103"/>
      <c r="AV989" s="103"/>
      <c r="AW989" s="104" t="str">
        <f>HYPERLINK("http://www.openstreetmap.org/?mlat=36.0556&amp;mlon=42.1603&amp;zoom=12#map=12/36.0556/42.1603","Maplink1")</f>
        <v>Maplink1</v>
      </c>
      <c r="AX989" s="104" t="str">
        <f>HYPERLINK("https://www.google.iq/maps/search/+36.0556,42.1603/@36.0556,42.1603,14z?hl=en","Maplink2")</f>
        <v>Maplink2</v>
      </c>
      <c r="AY989" s="104" t="str">
        <f>HYPERLINK("http://www.bing.com/maps/?lvl=14&amp;sty=h&amp;cp=36.0556~42.1603&amp;sp=point.36.0556_42.1603","Maplink3")</f>
        <v>Maplink3</v>
      </c>
    </row>
    <row r="990" spans="1:51" x14ac:dyDescent="0.2">
      <c r="A990" s="102">
        <v>33914</v>
      </c>
      <c r="B990" s="103" t="s">
        <v>35</v>
      </c>
      <c r="C990" s="103" t="s">
        <v>98</v>
      </c>
      <c r="D990" s="103" t="s">
        <v>3934</v>
      </c>
      <c r="E990" s="103" t="s">
        <v>3935</v>
      </c>
      <c r="F990" s="103">
        <v>36.081690000000002</v>
      </c>
      <c r="G990" s="103">
        <v>41.445906000000001</v>
      </c>
      <c r="H990" s="102">
        <v>12</v>
      </c>
      <c r="I990" s="102">
        <v>72</v>
      </c>
      <c r="J990" s="103"/>
      <c r="K990" s="103"/>
      <c r="L990" s="103"/>
      <c r="M990" s="103">
        <v>12</v>
      </c>
      <c r="N990" s="103"/>
      <c r="O990" s="103"/>
      <c r="P990" s="103"/>
      <c r="Q990" s="103"/>
      <c r="R990" s="103"/>
      <c r="S990" s="103"/>
      <c r="T990" s="103"/>
      <c r="U990" s="103"/>
      <c r="V990" s="103"/>
      <c r="W990" s="103"/>
      <c r="X990" s="103"/>
      <c r="Y990" s="103"/>
      <c r="Z990" s="103"/>
      <c r="AA990" s="103"/>
      <c r="AB990" s="103"/>
      <c r="AC990" s="103"/>
      <c r="AD990" s="103"/>
      <c r="AE990" s="103"/>
      <c r="AF990" s="103"/>
      <c r="AG990" s="103">
        <v>12</v>
      </c>
      <c r="AH990" s="103"/>
      <c r="AI990" s="103"/>
      <c r="AJ990" s="103"/>
      <c r="AK990" s="103"/>
      <c r="AL990" s="103"/>
      <c r="AM990" s="103"/>
      <c r="AN990" s="103"/>
      <c r="AO990" s="103"/>
      <c r="AP990" s="103"/>
      <c r="AQ990" s="103"/>
      <c r="AR990" s="103"/>
      <c r="AS990" s="103">
        <v>12</v>
      </c>
      <c r="AT990" s="103"/>
      <c r="AU990" s="103"/>
      <c r="AV990" s="103"/>
      <c r="AW990" s="104" t="str">
        <f>HYPERLINK("http://www.openstreetmap.org/?mlat=36.0817&amp;mlon=41.4459&amp;zoom=12#map=12/36.0817/41.4459","Maplink1")</f>
        <v>Maplink1</v>
      </c>
      <c r="AX990" s="104" t="str">
        <f>HYPERLINK("https://www.google.iq/maps/search/+36.0817,41.4459/@36.0817,41.4459,14z?hl=en","Maplink2")</f>
        <v>Maplink2</v>
      </c>
      <c r="AY990" s="104" t="str">
        <f>HYPERLINK("http://www.bing.com/maps/?lvl=14&amp;sty=h&amp;cp=36.0817~41.4459&amp;sp=point.36.0817_41.4459","Maplink3")</f>
        <v>Maplink3</v>
      </c>
    </row>
    <row r="991" spans="1:51" x14ac:dyDescent="0.2">
      <c r="A991" s="102">
        <v>33446</v>
      </c>
      <c r="B991" s="103" t="s">
        <v>35</v>
      </c>
      <c r="C991" s="103" t="s">
        <v>98</v>
      </c>
      <c r="D991" s="103" t="s">
        <v>1975</v>
      </c>
      <c r="E991" s="103" t="s">
        <v>1976</v>
      </c>
      <c r="F991" s="103">
        <v>35.995961600000001</v>
      </c>
      <c r="G991" s="103">
        <v>41.6054441</v>
      </c>
      <c r="H991" s="102">
        <v>80</v>
      </c>
      <c r="I991" s="102">
        <v>480</v>
      </c>
      <c r="J991" s="103">
        <v>7</v>
      </c>
      <c r="K991" s="103"/>
      <c r="L991" s="103"/>
      <c r="M991" s="103">
        <v>73</v>
      </c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  <c r="Z991" s="103"/>
      <c r="AA991" s="103"/>
      <c r="AB991" s="103"/>
      <c r="AC991" s="103"/>
      <c r="AD991" s="103"/>
      <c r="AE991" s="103"/>
      <c r="AF991" s="103"/>
      <c r="AG991" s="103">
        <v>80</v>
      </c>
      <c r="AH991" s="103"/>
      <c r="AI991" s="103"/>
      <c r="AJ991" s="103"/>
      <c r="AK991" s="103"/>
      <c r="AL991" s="103"/>
      <c r="AM991" s="103"/>
      <c r="AN991" s="103"/>
      <c r="AO991" s="103"/>
      <c r="AP991" s="103"/>
      <c r="AQ991" s="103"/>
      <c r="AR991" s="103"/>
      <c r="AS991" s="103">
        <v>80</v>
      </c>
      <c r="AT991" s="103"/>
      <c r="AU991" s="103"/>
      <c r="AV991" s="103"/>
      <c r="AW991" s="104" t="str">
        <f>HYPERLINK("http://www.openstreetmap.org/?mlat=35.996&amp;mlon=41.6054&amp;zoom=12#map=12/35.996/41.6054","Maplink1")</f>
        <v>Maplink1</v>
      </c>
      <c r="AX991" s="104" t="str">
        <f>HYPERLINK("https://www.google.iq/maps/search/+35.996,41.6054/@35.996,41.6054,14z?hl=en","Maplink2")</f>
        <v>Maplink2</v>
      </c>
      <c r="AY991" s="104" t="str">
        <f>HYPERLINK("http://www.bing.com/maps/?lvl=14&amp;sty=h&amp;cp=35.996~41.6054&amp;sp=point.35.996_41.6054","Maplink3")</f>
        <v>Maplink3</v>
      </c>
    </row>
    <row r="992" spans="1:51" x14ac:dyDescent="0.2">
      <c r="A992" s="102">
        <v>34062</v>
      </c>
      <c r="B992" s="103" t="s">
        <v>35</v>
      </c>
      <c r="C992" s="103" t="s">
        <v>98</v>
      </c>
      <c r="D992" s="103" t="s">
        <v>3936</v>
      </c>
      <c r="E992" s="103" t="s">
        <v>3937</v>
      </c>
      <c r="F992" s="103">
        <v>36.035262000000003</v>
      </c>
      <c r="G992" s="103">
        <v>41.893804000000003</v>
      </c>
      <c r="H992" s="102">
        <v>15</v>
      </c>
      <c r="I992" s="102">
        <v>90</v>
      </c>
      <c r="J992" s="103"/>
      <c r="K992" s="103"/>
      <c r="L992" s="103"/>
      <c r="M992" s="103">
        <v>15</v>
      </c>
      <c r="N992" s="103"/>
      <c r="O992" s="103"/>
      <c r="P992" s="103"/>
      <c r="Q992" s="103"/>
      <c r="R992" s="103"/>
      <c r="S992" s="103"/>
      <c r="T992" s="103"/>
      <c r="U992" s="103"/>
      <c r="V992" s="103"/>
      <c r="W992" s="103"/>
      <c r="X992" s="103"/>
      <c r="Y992" s="103"/>
      <c r="Z992" s="103"/>
      <c r="AA992" s="103"/>
      <c r="AB992" s="103"/>
      <c r="AC992" s="103"/>
      <c r="AD992" s="103"/>
      <c r="AE992" s="103"/>
      <c r="AF992" s="103"/>
      <c r="AG992" s="103">
        <v>15</v>
      </c>
      <c r="AH992" s="103"/>
      <c r="AI992" s="103"/>
      <c r="AJ992" s="103"/>
      <c r="AK992" s="103"/>
      <c r="AL992" s="103"/>
      <c r="AM992" s="103"/>
      <c r="AN992" s="103"/>
      <c r="AO992" s="103"/>
      <c r="AP992" s="103"/>
      <c r="AQ992" s="103"/>
      <c r="AR992" s="103"/>
      <c r="AS992" s="103">
        <v>15</v>
      </c>
      <c r="AT992" s="103"/>
      <c r="AU992" s="103"/>
      <c r="AV992" s="103"/>
      <c r="AW992" s="104" t="str">
        <f>HYPERLINK("http://www.openstreetmap.org/?mlat=36.0353&amp;mlon=41.8938&amp;zoom=12#map=12/36.0353/41.8938","Maplink1")</f>
        <v>Maplink1</v>
      </c>
      <c r="AX992" s="104" t="str">
        <f>HYPERLINK("https://www.google.iq/maps/search/+36.0353,41.8938/@36.0353,41.8938,14z?hl=en","Maplink2")</f>
        <v>Maplink2</v>
      </c>
      <c r="AY992" s="104" t="str">
        <f>HYPERLINK("http://www.bing.com/maps/?lvl=14&amp;sty=h&amp;cp=36.0353~41.8938&amp;sp=point.36.0353_41.8938","Maplink3")</f>
        <v>Maplink3</v>
      </c>
    </row>
    <row r="993" spans="1:51" x14ac:dyDescent="0.2">
      <c r="A993" s="102">
        <v>17677</v>
      </c>
      <c r="B993" s="103" t="s">
        <v>35</v>
      </c>
      <c r="C993" s="103" t="s">
        <v>98</v>
      </c>
      <c r="D993" s="103" t="s">
        <v>3938</v>
      </c>
      <c r="E993" s="103" t="s">
        <v>3939</v>
      </c>
      <c r="F993" s="103">
        <v>36.085745000000003</v>
      </c>
      <c r="G993" s="103">
        <v>41.773209999999999</v>
      </c>
      <c r="H993" s="102">
        <v>9</v>
      </c>
      <c r="I993" s="102">
        <v>54</v>
      </c>
      <c r="J993" s="103"/>
      <c r="K993" s="103"/>
      <c r="L993" s="103"/>
      <c r="M993" s="103">
        <v>9</v>
      </c>
      <c r="N993" s="103"/>
      <c r="O993" s="103"/>
      <c r="P993" s="103"/>
      <c r="Q993" s="103"/>
      <c r="R993" s="103"/>
      <c r="S993" s="103"/>
      <c r="T993" s="103"/>
      <c r="U993" s="103"/>
      <c r="V993" s="103"/>
      <c r="W993" s="103"/>
      <c r="X993" s="103"/>
      <c r="Y993" s="103"/>
      <c r="Z993" s="103"/>
      <c r="AA993" s="103"/>
      <c r="AB993" s="103"/>
      <c r="AC993" s="103"/>
      <c r="AD993" s="103"/>
      <c r="AE993" s="103"/>
      <c r="AF993" s="103"/>
      <c r="AG993" s="103">
        <v>9</v>
      </c>
      <c r="AH993" s="103"/>
      <c r="AI993" s="103"/>
      <c r="AJ993" s="103"/>
      <c r="AK993" s="103"/>
      <c r="AL993" s="103"/>
      <c r="AM993" s="103"/>
      <c r="AN993" s="103"/>
      <c r="AO993" s="103"/>
      <c r="AP993" s="103"/>
      <c r="AQ993" s="103"/>
      <c r="AR993" s="103"/>
      <c r="AS993" s="103">
        <v>9</v>
      </c>
      <c r="AT993" s="103"/>
      <c r="AU993" s="103"/>
      <c r="AV993" s="103"/>
      <c r="AW993" s="104" t="str">
        <f>HYPERLINK("http://www.openstreetmap.org/?mlat=36.0857&amp;mlon=41.7732&amp;zoom=12#map=12/36.0857/41.7732","Maplink1")</f>
        <v>Maplink1</v>
      </c>
      <c r="AX993" s="104" t="str">
        <f>HYPERLINK("https://www.google.iq/maps/search/+36.0857,41.7732/@36.0857,41.7732,14z?hl=en","Maplink2")</f>
        <v>Maplink2</v>
      </c>
      <c r="AY993" s="104" t="str">
        <f>HYPERLINK("http://www.bing.com/maps/?lvl=14&amp;sty=h&amp;cp=36.0857~41.7732&amp;sp=point.36.0857_41.7732","Maplink3")</f>
        <v>Maplink3</v>
      </c>
    </row>
    <row r="994" spans="1:51" x14ac:dyDescent="0.2">
      <c r="A994" s="102">
        <v>34075</v>
      </c>
      <c r="B994" s="103" t="s">
        <v>35</v>
      </c>
      <c r="C994" s="103" t="s">
        <v>98</v>
      </c>
      <c r="D994" s="103" t="s">
        <v>3940</v>
      </c>
      <c r="E994" s="103" t="s">
        <v>3941</v>
      </c>
      <c r="F994" s="103">
        <v>35.934972999999999</v>
      </c>
      <c r="G994" s="103">
        <v>41.770448000000002</v>
      </c>
      <c r="H994" s="102">
        <v>6</v>
      </c>
      <c r="I994" s="102">
        <v>36</v>
      </c>
      <c r="J994" s="103"/>
      <c r="K994" s="103"/>
      <c r="L994" s="103"/>
      <c r="M994" s="103">
        <v>6</v>
      </c>
      <c r="N994" s="103"/>
      <c r="O994" s="103"/>
      <c r="P994" s="103"/>
      <c r="Q994" s="103"/>
      <c r="R994" s="103"/>
      <c r="S994" s="103"/>
      <c r="T994" s="103"/>
      <c r="U994" s="103"/>
      <c r="V994" s="103"/>
      <c r="W994" s="103"/>
      <c r="X994" s="103"/>
      <c r="Y994" s="103"/>
      <c r="Z994" s="103"/>
      <c r="AA994" s="103"/>
      <c r="AB994" s="103"/>
      <c r="AC994" s="103"/>
      <c r="AD994" s="103"/>
      <c r="AE994" s="103"/>
      <c r="AF994" s="103"/>
      <c r="AG994" s="103">
        <v>6</v>
      </c>
      <c r="AH994" s="103"/>
      <c r="AI994" s="103"/>
      <c r="AJ994" s="103"/>
      <c r="AK994" s="103"/>
      <c r="AL994" s="103"/>
      <c r="AM994" s="103"/>
      <c r="AN994" s="103"/>
      <c r="AO994" s="103"/>
      <c r="AP994" s="103"/>
      <c r="AQ994" s="103"/>
      <c r="AR994" s="103"/>
      <c r="AS994" s="103">
        <v>6</v>
      </c>
      <c r="AT994" s="103"/>
      <c r="AU994" s="103"/>
      <c r="AV994" s="103"/>
      <c r="AW994" s="104" t="str">
        <f>HYPERLINK("http://www.openstreetmap.org/?mlat=35.935&amp;mlon=41.7704&amp;zoom=12#map=12/35.935/41.7704","Maplink1")</f>
        <v>Maplink1</v>
      </c>
      <c r="AX994" s="104" t="str">
        <f>HYPERLINK("https://www.google.iq/maps/search/+35.935,41.7704/@35.935,41.7704,14z?hl=en","Maplink2")</f>
        <v>Maplink2</v>
      </c>
      <c r="AY994" s="104" t="str">
        <f>HYPERLINK("http://www.bing.com/maps/?lvl=14&amp;sty=h&amp;cp=35.935~41.7704&amp;sp=point.35.935_41.7704","Maplink3")</f>
        <v>Maplink3</v>
      </c>
    </row>
    <row r="995" spans="1:51" x14ac:dyDescent="0.2">
      <c r="A995" s="102">
        <v>33432</v>
      </c>
      <c r="B995" s="103" t="s">
        <v>35</v>
      </c>
      <c r="C995" s="103" t="s">
        <v>98</v>
      </c>
      <c r="D995" s="103" t="s">
        <v>2014</v>
      </c>
      <c r="E995" s="103" t="s">
        <v>2015</v>
      </c>
      <c r="F995" s="103">
        <v>36.075384</v>
      </c>
      <c r="G995" s="103">
        <v>41.581558000000001</v>
      </c>
      <c r="H995" s="102">
        <v>20</v>
      </c>
      <c r="I995" s="102">
        <v>120</v>
      </c>
      <c r="J995" s="103"/>
      <c r="K995" s="103"/>
      <c r="L995" s="103"/>
      <c r="M995" s="103">
        <v>15</v>
      </c>
      <c r="N995" s="103">
        <v>5</v>
      </c>
      <c r="O995" s="103"/>
      <c r="P995" s="103"/>
      <c r="Q995" s="103"/>
      <c r="R995" s="103"/>
      <c r="S995" s="103"/>
      <c r="T995" s="103"/>
      <c r="U995" s="103"/>
      <c r="V995" s="103"/>
      <c r="W995" s="103"/>
      <c r="X995" s="103"/>
      <c r="Y995" s="103"/>
      <c r="Z995" s="103"/>
      <c r="AA995" s="103"/>
      <c r="AB995" s="103"/>
      <c r="AC995" s="103"/>
      <c r="AD995" s="103"/>
      <c r="AE995" s="103"/>
      <c r="AF995" s="103"/>
      <c r="AG995" s="103">
        <v>20</v>
      </c>
      <c r="AH995" s="103"/>
      <c r="AI995" s="103"/>
      <c r="AJ995" s="103"/>
      <c r="AK995" s="103"/>
      <c r="AL995" s="103"/>
      <c r="AM995" s="103"/>
      <c r="AN995" s="103"/>
      <c r="AO995" s="103"/>
      <c r="AP995" s="103"/>
      <c r="AQ995" s="103"/>
      <c r="AR995" s="103"/>
      <c r="AS995" s="103">
        <v>20</v>
      </c>
      <c r="AT995" s="103"/>
      <c r="AU995" s="103"/>
      <c r="AV995" s="103"/>
      <c r="AW995" s="104" t="str">
        <f>HYPERLINK("http://www.openstreetmap.org/?mlat=36.0754&amp;mlon=41.5816&amp;zoom=12#map=12/36.0754/41.5816","Maplink1")</f>
        <v>Maplink1</v>
      </c>
      <c r="AX995" s="104" t="str">
        <f>HYPERLINK("https://www.google.iq/maps/search/+36.0754,41.5816/@36.0754,41.5816,14z?hl=en","Maplink2")</f>
        <v>Maplink2</v>
      </c>
      <c r="AY995" s="104" t="str">
        <f>HYPERLINK("http://www.bing.com/maps/?lvl=14&amp;sty=h&amp;cp=36.0754~41.5816&amp;sp=point.36.0754_41.5816","Maplink3")</f>
        <v>Maplink3</v>
      </c>
    </row>
    <row r="996" spans="1:51" x14ac:dyDescent="0.2">
      <c r="A996" s="102">
        <v>33857</v>
      </c>
      <c r="B996" s="103" t="s">
        <v>35</v>
      </c>
      <c r="C996" s="103" t="s">
        <v>98</v>
      </c>
      <c r="D996" s="103" t="s">
        <v>2016</v>
      </c>
      <c r="E996" s="103" t="s">
        <v>2017</v>
      </c>
      <c r="F996" s="103">
        <v>36.100219000000003</v>
      </c>
      <c r="G996" s="103">
        <v>41.735010000000003</v>
      </c>
      <c r="H996" s="102">
        <v>158</v>
      </c>
      <c r="I996" s="102">
        <v>948</v>
      </c>
      <c r="J996" s="103"/>
      <c r="K996" s="103"/>
      <c r="L996" s="103"/>
      <c r="M996" s="103">
        <v>158</v>
      </c>
      <c r="N996" s="103"/>
      <c r="O996" s="103"/>
      <c r="P996" s="103"/>
      <c r="Q996" s="103"/>
      <c r="R996" s="103"/>
      <c r="S996" s="103"/>
      <c r="T996" s="103"/>
      <c r="U996" s="103"/>
      <c r="V996" s="103"/>
      <c r="W996" s="103"/>
      <c r="X996" s="103"/>
      <c r="Y996" s="103"/>
      <c r="Z996" s="103"/>
      <c r="AA996" s="103"/>
      <c r="AB996" s="103"/>
      <c r="AC996" s="103"/>
      <c r="AD996" s="103"/>
      <c r="AE996" s="103"/>
      <c r="AF996" s="103"/>
      <c r="AG996" s="103">
        <v>158</v>
      </c>
      <c r="AH996" s="103"/>
      <c r="AI996" s="103"/>
      <c r="AJ996" s="103"/>
      <c r="AK996" s="103"/>
      <c r="AL996" s="103"/>
      <c r="AM996" s="103"/>
      <c r="AN996" s="103"/>
      <c r="AO996" s="103"/>
      <c r="AP996" s="103"/>
      <c r="AQ996" s="103"/>
      <c r="AR996" s="103"/>
      <c r="AS996" s="103">
        <v>158</v>
      </c>
      <c r="AT996" s="103"/>
      <c r="AU996" s="103"/>
      <c r="AV996" s="103"/>
      <c r="AW996" s="104" t="str">
        <f>HYPERLINK("http://www.openstreetmap.org/?mlat=36.1002&amp;mlon=41.735&amp;zoom=12#map=12/36.1002/41.735","Maplink1")</f>
        <v>Maplink1</v>
      </c>
      <c r="AX996" s="104" t="str">
        <f>HYPERLINK("https://www.google.iq/maps/search/+36.1002,41.735/@36.1002,41.735,14z?hl=en","Maplink2")</f>
        <v>Maplink2</v>
      </c>
      <c r="AY996" s="104" t="str">
        <f>HYPERLINK("http://www.bing.com/maps/?lvl=14&amp;sty=h&amp;cp=36.1002~41.735&amp;sp=point.36.1002_41.735","Maplink3")</f>
        <v>Maplink3</v>
      </c>
    </row>
    <row r="997" spans="1:51" x14ac:dyDescent="0.2">
      <c r="A997" s="102">
        <v>34067</v>
      </c>
      <c r="B997" s="103" t="s">
        <v>35</v>
      </c>
      <c r="C997" s="103" t="s">
        <v>98</v>
      </c>
      <c r="D997" s="103" t="s">
        <v>3942</v>
      </c>
      <c r="E997" s="103" t="s">
        <v>3943</v>
      </c>
      <c r="F997" s="103">
        <v>36.043396999999999</v>
      </c>
      <c r="G997" s="103">
        <v>41.696883</v>
      </c>
      <c r="H997" s="102">
        <v>18</v>
      </c>
      <c r="I997" s="102">
        <v>108</v>
      </c>
      <c r="J997" s="103"/>
      <c r="K997" s="103"/>
      <c r="L997" s="103"/>
      <c r="M997" s="103">
        <v>18</v>
      </c>
      <c r="N997" s="103"/>
      <c r="O997" s="103"/>
      <c r="P997" s="103"/>
      <c r="Q997" s="103"/>
      <c r="R997" s="103"/>
      <c r="S997" s="103"/>
      <c r="T997" s="103"/>
      <c r="U997" s="103"/>
      <c r="V997" s="103"/>
      <c r="W997" s="103"/>
      <c r="X997" s="103"/>
      <c r="Y997" s="103"/>
      <c r="Z997" s="103"/>
      <c r="AA997" s="103"/>
      <c r="AB997" s="103"/>
      <c r="AC997" s="103"/>
      <c r="AD997" s="103"/>
      <c r="AE997" s="103"/>
      <c r="AF997" s="103"/>
      <c r="AG997" s="103">
        <v>18</v>
      </c>
      <c r="AH997" s="103"/>
      <c r="AI997" s="103"/>
      <c r="AJ997" s="103"/>
      <c r="AK997" s="103"/>
      <c r="AL997" s="103"/>
      <c r="AM997" s="103"/>
      <c r="AN997" s="103"/>
      <c r="AO997" s="103"/>
      <c r="AP997" s="103"/>
      <c r="AQ997" s="103"/>
      <c r="AR997" s="103"/>
      <c r="AS997" s="103">
        <v>18</v>
      </c>
      <c r="AT997" s="103"/>
      <c r="AU997" s="103"/>
      <c r="AV997" s="103"/>
      <c r="AW997" s="104" t="str">
        <f>HYPERLINK("http://www.openstreetmap.org/?mlat=36.0434&amp;mlon=41.6969&amp;zoom=12#map=12/36.0434/41.6969","Maplink1")</f>
        <v>Maplink1</v>
      </c>
      <c r="AX997" s="104" t="str">
        <f>HYPERLINK("https://www.google.iq/maps/search/+36.0434,41.6969/@36.0434,41.6969,14z?hl=en","Maplink2")</f>
        <v>Maplink2</v>
      </c>
      <c r="AY997" s="104" t="str">
        <f>HYPERLINK("http://www.bing.com/maps/?lvl=14&amp;sty=h&amp;cp=36.0434~41.6969&amp;sp=point.36.0434_41.6969","Maplink3")</f>
        <v>Maplink3</v>
      </c>
    </row>
    <row r="998" spans="1:51" x14ac:dyDescent="0.2">
      <c r="A998" s="102">
        <v>22951</v>
      </c>
      <c r="B998" s="103" t="s">
        <v>35</v>
      </c>
      <c r="C998" s="103" t="s">
        <v>98</v>
      </c>
      <c r="D998" s="103" t="s">
        <v>3944</v>
      </c>
      <c r="E998" s="103" t="s">
        <v>3945</v>
      </c>
      <c r="F998" s="103">
        <v>36.085622000000001</v>
      </c>
      <c r="G998" s="103">
        <v>41.403545999999999</v>
      </c>
      <c r="H998" s="102">
        <v>21</v>
      </c>
      <c r="I998" s="102">
        <v>126</v>
      </c>
      <c r="J998" s="103"/>
      <c r="K998" s="103"/>
      <c r="L998" s="103"/>
      <c r="M998" s="103">
        <v>21</v>
      </c>
      <c r="N998" s="103"/>
      <c r="O998" s="103"/>
      <c r="P998" s="103"/>
      <c r="Q998" s="103"/>
      <c r="R998" s="103"/>
      <c r="S998" s="103"/>
      <c r="T998" s="103"/>
      <c r="U998" s="103"/>
      <c r="V998" s="103"/>
      <c r="W998" s="103"/>
      <c r="X998" s="103"/>
      <c r="Y998" s="103"/>
      <c r="Z998" s="103"/>
      <c r="AA998" s="103"/>
      <c r="AB998" s="103"/>
      <c r="AC998" s="103"/>
      <c r="AD998" s="103"/>
      <c r="AE998" s="103"/>
      <c r="AF998" s="103"/>
      <c r="AG998" s="103">
        <v>21</v>
      </c>
      <c r="AH998" s="103"/>
      <c r="AI998" s="103"/>
      <c r="AJ998" s="103"/>
      <c r="AK998" s="103"/>
      <c r="AL998" s="103"/>
      <c r="AM998" s="103"/>
      <c r="AN998" s="103"/>
      <c r="AO998" s="103"/>
      <c r="AP998" s="103"/>
      <c r="AQ998" s="103"/>
      <c r="AR998" s="103"/>
      <c r="AS998" s="103">
        <v>21</v>
      </c>
      <c r="AT998" s="103"/>
      <c r="AU998" s="103"/>
      <c r="AV998" s="103"/>
      <c r="AW998" s="104" t="str">
        <f>HYPERLINK("http://www.openstreetmap.org/?mlat=36.0856&amp;mlon=41.4035&amp;zoom=12#map=12/36.0856/41.4035","Maplink1")</f>
        <v>Maplink1</v>
      </c>
      <c r="AX998" s="104" t="str">
        <f>HYPERLINK("https://www.google.iq/maps/search/+36.0856,41.4035/@36.0856,41.4035,14z?hl=en","Maplink2")</f>
        <v>Maplink2</v>
      </c>
      <c r="AY998" s="104" t="str">
        <f>HYPERLINK("http://www.bing.com/maps/?lvl=14&amp;sty=h&amp;cp=36.0856~41.4035&amp;sp=point.36.0856_41.4035","Maplink3")</f>
        <v>Maplink3</v>
      </c>
    </row>
    <row r="999" spans="1:51" x14ac:dyDescent="0.2">
      <c r="A999" s="102">
        <v>34012</v>
      </c>
      <c r="B999" s="103" t="s">
        <v>35</v>
      </c>
      <c r="C999" s="103" t="s">
        <v>98</v>
      </c>
      <c r="D999" s="103" t="s">
        <v>1968</v>
      </c>
      <c r="E999" s="103" t="s">
        <v>1969</v>
      </c>
      <c r="F999" s="103">
        <v>36.038938999999999</v>
      </c>
      <c r="G999" s="103">
        <v>41.714345999999999</v>
      </c>
      <c r="H999" s="102">
        <v>154</v>
      </c>
      <c r="I999" s="102">
        <v>924</v>
      </c>
      <c r="J999" s="103"/>
      <c r="K999" s="103"/>
      <c r="L999" s="103"/>
      <c r="M999" s="103">
        <v>154</v>
      </c>
      <c r="N999" s="103"/>
      <c r="O999" s="103"/>
      <c r="P999" s="103"/>
      <c r="Q999" s="103"/>
      <c r="R999" s="103"/>
      <c r="S999" s="103"/>
      <c r="T999" s="103"/>
      <c r="U999" s="103"/>
      <c r="V999" s="103"/>
      <c r="W999" s="103"/>
      <c r="X999" s="103"/>
      <c r="Y999" s="103"/>
      <c r="Z999" s="103"/>
      <c r="AA999" s="103">
        <v>4</v>
      </c>
      <c r="AB999" s="103"/>
      <c r="AC999" s="103"/>
      <c r="AD999" s="103"/>
      <c r="AE999" s="103"/>
      <c r="AF999" s="103"/>
      <c r="AG999" s="103">
        <v>150</v>
      </c>
      <c r="AH999" s="103"/>
      <c r="AI999" s="103"/>
      <c r="AJ999" s="103"/>
      <c r="AK999" s="103"/>
      <c r="AL999" s="103"/>
      <c r="AM999" s="103"/>
      <c r="AN999" s="103"/>
      <c r="AO999" s="103"/>
      <c r="AP999" s="103"/>
      <c r="AQ999" s="103"/>
      <c r="AR999" s="103"/>
      <c r="AS999" s="103">
        <v>154</v>
      </c>
      <c r="AT999" s="103"/>
      <c r="AU999" s="103"/>
      <c r="AV999" s="103"/>
      <c r="AW999" s="104" t="str">
        <f>HYPERLINK("http://www.openstreetmap.org/?mlat=36.0389&amp;mlon=41.7143&amp;zoom=12#map=12/36.0389/41.7143","Maplink1")</f>
        <v>Maplink1</v>
      </c>
      <c r="AX999" s="104" t="str">
        <f>HYPERLINK("https://www.google.iq/maps/search/+36.0389,41.7143/@36.0389,41.7143,14z?hl=en","Maplink2")</f>
        <v>Maplink2</v>
      </c>
      <c r="AY999" s="104" t="str">
        <f>HYPERLINK("http://www.bing.com/maps/?lvl=14&amp;sty=h&amp;cp=36.0389~41.7143&amp;sp=point.36.0389_41.7143","Maplink3")</f>
        <v>Maplink3</v>
      </c>
    </row>
    <row r="1000" spans="1:51" x14ac:dyDescent="0.2">
      <c r="A1000" s="102">
        <v>34064</v>
      </c>
      <c r="B1000" s="103" t="s">
        <v>35</v>
      </c>
      <c r="C1000" s="103" t="s">
        <v>98</v>
      </c>
      <c r="D1000" s="103" t="s">
        <v>3946</v>
      </c>
      <c r="E1000" s="103" t="s">
        <v>3947</v>
      </c>
      <c r="F1000" s="103">
        <v>36.054242000000002</v>
      </c>
      <c r="G1000" s="103">
        <v>41.876759999999997</v>
      </c>
      <c r="H1000" s="102">
        <v>4</v>
      </c>
      <c r="I1000" s="102">
        <v>24</v>
      </c>
      <c r="J1000" s="103"/>
      <c r="K1000" s="103"/>
      <c r="L1000" s="103"/>
      <c r="M1000" s="103">
        <v>4</v>
      </c>
      <c r="N1000" s="103"/>
      <c r="O1000" s="103"/>
      <c r="P1000" s="103"/>
      <c r="Q1000" s="103"/>
      <c r="R1000" s="103"/>
      <c r="S1000" s="103"/>
      <c r="T1000" s="103"/>
      <c r="U1000" s="103"/>
      <c r="V1000" s="103"/>
      <c r="W1000" s="103"/>
      <c r="X1000" s="103"/>
      <c r="Y1000" s="103"/>
      <c r="Z1000" s="103"/>
      <c r="AA1000" s="103"/>
      <c r="AB1000" s="103"/>
      <c r="AC1000" s="103"/>
      <c r="AD1000" s="103"/>
      <c r="AE1000" s="103"/>
      <c r="AF1000" s="103"/>
      <c r="AG1000" s="103">
        <v>4</v>
      </c>
      <c r="AH1000" s="103"/>
      <c r="AI1000" s="103"/>
      <c r="AJ1000" s="103"/>
      <c r="AK1000" s="103"/>
      <c r="AL1000" s="103"/>
      <c r="AM1000" s="103"/>
      <c r="AN1000" s="103"/>
      <c r="AO1000" s="103"/>
      <c r="AP1000" s="103"/>
      <c r="AQ1000" s="103"/>
      <c r="AR1000" s="103"/>
      <c r="AS1000" s="103">
        <v>4</v>
      </c>
      <c r="AT1000" s="103"/>
      <c r="AU1000" s="103"/>
      <c r="AV1000" s="103"/>
      <c r="AW1000" s="104" t="str">
        <f>HYPERLINK("http://www.openstreetmap.org/?mlat=36.0542&amp;mlon=41.8768&amp;zoom=12#map=12/36.0542/41.8768","Maplink1")</f>
        <v>Maplink1</v>
      </c>
      <c r="AX1000" s="104" t="str">
        <f>HYPERLINK("https://www.google.iq/maps/search/+36.0542,41.8768/@36.0542,41.8768,14z?hl=en","Maplink2")</f>
        <v>Maplink2</v>
      </c>
      <c r="AY1000" s="104" t="str">
        <f>HYPERLINK("http://www.bing.com/maps/?lvl=14&amp;sty=h&amp;cp=36.0542~41.8768&amp;sp=point.36.0542_41.8768","Maplink3")</f>
        <v>Maplink3</v>
      </c>
    </row>
    <row r="1001" spans="1:51" x14ac:dyDescent="0.2">
      <c r="A1001" s="102">
        <v>34083</v>
      </c>
      <c r="B1001" s="103" t="s">
        <v>35</v>
      </c>
      <c r="C1001" s="103" t="s">
        <v>98</v>
      </c>
      <c r="D1001" s="103" t="s">
        <v>3948</v>
      </c>
      <c r="E1001" s="103" t="s">
        <v>3949</v>
      </c>
      <c r="F1001" s="103">
        <v>36.083734</v>
      </c>
      <c r="G1001" s="103">
        <v>42.078209999999999</v>
      </c>
      <c r="H1001" s="102">
        <v>50</v>
      </c>
      <c r="I1001" s="102">
        <v>300</v>
      </c>
      <c r="J1001" s="103"/>
      <c r="K1001" s="103"/>
      <c r="L1001" s="103"/>
      <c r="M1001" s="103">
        <v>50</v>
      </c>
      <c r="N1001" s="103"/>
      <c r="O1001" s="103"/>
      <c r="P1001" s="103"/>
      <c r="Q1001" s="103"/>
      <c r="R1001" s="103"/>
      <c r="S1001" s="103"/>
      <c r="T1001" s="103"/>
      <c r="U1001" s="103"/>
      <c r="V1001" s="103"/>
      <c r="W1001" s="103"/>
      <c r="X1001" s="103"/>
      <c r="Y1001" s="103"/>
      <c r="Z1001" s="103"/>
      <c r="AA1001" s="103"/>
      <c r="AB1001" s="103"/>
      <c r="AC1001" s="103"/>
      <c r="AD1001" s="103"/>
      <c r="AE1001" s="103"/>
      <c r="AF1001" s="103"/>
      <c r="AG1001" s="103">
        <v>50</v>
      </c>
      <c r="AH1001" s="103"/>
      <c r="AI1001" s="103"/>
      <c r="AJ1001" s="103"/>
      <c r="AK1001" s="103"/>
      <c r="AL1001" s="103"/>
      <c r="AM1001" s="103"/>
      <c r="AN1001" s="103"/>
      <c r="AO1001" s="103"/>
      <c r="AP1001" s="103"/>
      <c r="AQ1001" s="103"/>
      <c r="AR1001" s="103"/>
      <c r="AS1001" s="103">
        <v>50</v>
      </c>
      <c r="AT1001" s="103"/>
      <c r="AU1001" s="103"/>
      <c r="AV1001" s="103"/>
      <c r="AW1001" s="104" t="str">
        <f>HYPERLINK("http://www.openstreetmap.org/?mlat=36.0837&amp;mlon=42.0782&amp;zoom=12#map=12/36.0837/42.0782","Maplink1")</f>
        <v>Maplink1</v>
      </c>
      <c r="AX1001" s="104" t="str">
        <f>HYPERLINK("https://www.google.iq/maps/search/+36.0837,42.0782/@36.0837,42.0782,14z?hl=en","Maplink2")</f>
        <v>Maplink2</v>
      </c>
      <c r="AY1001" s="104" t="str">
        <f>HYPERLINK("http://www.bing.com/maps/?lvl=14&amp;sty=h&amp;cp=36.0837~42.0782&amp;sp=point.36.0837_42.0782","Maplink3")</f>
        <v>Maplink3</v>
      </c>
    </row>
    <row r="1002" spans="1:51" x14ac:dyDescent="0.2">
      <c r="A1002" s="102">
        <v>34056</v>
      </c>
      <c r="B1002" s="103" t="s">
        <v>35</v>
      </c>
      <c r="C1002" s="103" t="s">
        <v>98</v>
      </c>
      <c r="D1002" s="103" t="s">
        <v>3950</v>
      </c>
      <c r="E1002" s="103" t="s">
        <v>3951</v>
      </c>
      <c r="F1002" s="103">
        <v>36.011682999999998</v>
      </c>
      <c r="G1002" s="103">
        <v>42.153066000000003</v>
      </c>
      <c r="H1002" s="102">
        <v>14</v>
      </c>
      <c r="I1002" s="102">
        <v>84</v>
      </c>
      <c r="J1002" s="103"/>
      <c r="K1002" s="103"/>
      <c r="L1002" s="103"/>
      <c r="M1002" s="103">
        <v>14</v>
      </c>
      <c r="N1002" s="103"/>
      <c r="O1002" s="103"/>
      <c r="P1002" s="103"/>
      <c r="Q1002" s="103"/>
      <c r="R1002" s="103"/>
      <c r="S1002" s="103"/>
      <c r="T1002" s="103"/>
      <c r="U1002" s="103"/>
      <c r="V1002" s="103"/>
      <c r="W1002" s="103"/>
      <c r="X1002" s="103"/>
      <c r="Y1002" s="103"/>
      <c r="Z1002" s="103"/>
      <c r="AA1002" s="103"/>
      <c r="AB1002" s="103"/>
      <c r="AC1002" s="103"/>
      <c r="AD1002" s="103"/>
      <c r="AE1002" s="103"/>
      <c r="AF1002" s="103"/>
      <c r="AG1002" s="103">
        <v>14</v>
      </c>
      <c r="AH1002" s="103"/>
      <c r="AI1002" s="103"/>
      <c r="AJ1002" s="103"/>
      <c r="AK1002" s="103"/>
      <c r="AL1002" s="103"/>
      <c r="AM1002" s="103"/>
      <c r="AN1002" s="103"/>
      <c r="AO1002" s="103"/>
      <c r="AP1002" s="103"/>
      <c r="AQ1002" s="103"/>
      <c r="AR1002" s="103"/>
      <c r="AS1002" s="103">
        <v>14</v>
      </c>
      <c r="AT1002" s="103"/>
      <c r="AU1002" s="103"/>
      <c r="AV1002" s="103"/>
      <c r="AW1002" s="104" t="str">
        <f>HYPERLINK("http://www.openstreetmap.org/?mlat=36.0117&amp;mlon=42.1531&amp;zoom=12#map=12/36.0117/42.1531","Maplink1")</f>
        <v>Maplink1</v>
      </c>
      <c r="AX1002" s="104" t="str">
        <f>HYPERLINK("https://www.google.iq/maps/search/+36.0117,42.1531/@36.0117,42.1531,14z?hl=en","Maplink2")</f>
        <v>Maplink2</v>
      </c>
      <c r="AY1002" s="104" t="str">
        <f>HYPERLINK("http://www.bing.com/maps/?lvl=14&amp;sty=h&amp;cp=36.0117~42.1531&amp;sp=point.36.0117_42.1531","Maplink3")</f>
        <v>Maplink3</v>
      </c>
    </row>
    <row r="1003" spans="1:51" x14ac:dyDescent="0.2">
      <c r="A1003" s="102">
        <v>33617</v>
      </c>
      <c r="B1003" s="103" t="s">
        <v>35</v>
      </c>
      <c r="C1003" s="103" t="s">
        <v>98</v>
      </c>
      <c r="D1003" s="103" t="s">
        <v>3952</v>
      </c>
      <c r="E1003" s="103" t="s">
        <v>3953</v>
      </c>
      <c r="F1003" s="103">
        <v>36.286366600000001</v>
      </c>
      <c r="G1003" s="103">
        <v>41.593440999999999</v>
      </c>
      <c r="H1003" s="102">
        <v>12</v>
      </c>
      <c r="I1003" s="102">
        <v>72</v>
      </c>
      <c r="J1003" s="103"/>
      <c r="K1003" s="103"/>
      <c r="L1003" s="103"/>
      <c r="M1003" s="103">
        <v>12</v>
      </c>
      <c r="N1003" s="103"/>
      <c r="O1003" s="103"/>
      <c r="P1003" s="103"/>
      <c r="Q1003" s="103"/>
      <c r="R1003" s="103"/>
      <c r="S1003" s="103"/>
      <c r="T1003" s="103"/>
      <c r="U1003" s="103"/>
      <c r="V1003" s="103"/>
      <c r="W1003" s="103"/>
      <c r="X1003" s="103"/>
      <c r="Y1003" s="103"/>
      <c r="Z1003" s="103"/>
      <c r="AA1003" s="103"/>
      <c r="AB1003" s="103"/>
      <c r="AC1003" s="103"/>
      <c r="AD1003" s="103"/>
      <c r="AE1003" s="103"/>
      <c r="AF1003" s="103"/>
      <c r="AG1003" s="103">
        <v>12</v>
      </c>
      <c r="AH1003" s="103"/>
      <c r="AI1003" s="103"/>
      <c r="AJ1003" s="103"/>
      <c r="AK1003" s="103"/>
      <c r="AL1003" s="103"/>
      <c r="AM1003" s="103"/>
      <c r="AN1003" s="103"/>
      <c r="AO1003" s="103">
        <v>12</v>
      </c>
      <c r="AP1003" s="103"/>
      <c r="AQ1003" s="103"/>
      <c r="AR1003" s="103"/>
      <c r="AS1003" s="103"/>
      <c r="AT1003" s="103"/>
      <c r="AU1003" s="103"/>
      <c r="AV1003" s="103"/>
      <c r="AW1003" s="104" t="str">
        <f>HYPERLINK("http://www.openstreetmap.org/?mlat=36.2864&amp;mlon=41.5934&amp;zoom=12#map=12/36.2864/41.5934","Maplink1")</f>
        <v>Maplink1</v>
      </c>
      <c r="AX1003" s="104" t="str">
        <f>HYPERLINK("https://www.google.iq/maps/search/+36.2864,41.5934/@36.2864,41.5934,14z?hl=en","Maplink2")</f>
        <v>Maplink2</v>
      </c>
      <c r="AY1003" s="104" t="str">
        <f>HYPERLINK("http://www.bing.com/maps/?lvl=14&amp;sty=h&amp;cp=36.2864~41.5934&amp;sp=point.36.2864_41.5934","Maplink3")</f>
        <v>Maplink3</v>
      </c>
    </row>
    <row r="1004" spans="1:51" x14ac:dyDescent="0.2">
      <c r="A1004" s="102">
        <v>34032</v>
      </c>
      <c r="B1004" s="103" t="s">
        <v>35</v>
      </c>
      <c r="C1004" s="103" t="s">
        <v>98</v>
      </c>
      <c r="D1004" s="103" t="s">
        <v>1973</v>
      </c>
      <c r="E1004" s="103" t="s">
        <v>1974</v>
      </c>
      <c r="F1004" s="103">
        <v>36.064193000000003</v>
      </c>
      <c r="G1004" s="103">
        <v>41.714970999999998</v>
      </c>
      <c r="H1004" s="102">
        <v>22</v>
      </c>
      <c r="I1004" s="102">
        <v>132</v>
      </c>
      <c r="J1004" s="103"/>
      <c r="K1004" s="103"/>
      <c r="L1004" s="103"/>
      <c r="M1004" s="103">
        <v>20</v>
      </c>
      <c r="N1004" s="103">
        <v>2</v>
      </c>
      <c r="O1004" s="103"/>
      <c r="P1004" s="103"/>
      <c r="Q1004" s="103"/>
      <c r="R1004" s="103"/>
      <c r="S1004" s="103"/>
      <c r="T1004" s="103"/>
      <c r="U1004" s="103"/>
      <c r="V1004" s="103"/>
      <c r="W1004" s="103"/>
      <c r="X1004" s="103"/>
      <c r="Y1004" s="103"/>
      <c r="Z1004" s="103"/>
      <c r="AA1004" s="103"/>
      <c r="AB1004" s="103"/>
      <c r="AC1004" s="103"/>
      <c r="AD1004" s="103"/>
      <c r="AE1004" s="103"/>
      <c r="AF1004" s="103"/>
      <c r="AG1004" s="103">
        <v>22</v>
      </c>
      <c r="AH1004" s="103"/>
      <c r="AI1004" s="103"/>
      <c r="AJ1004" s="103"/>
      <c r="AK1004" s="103"/>
      <c r="AL1004" s="103"/>
      <c r="AM1004" s="103"/>
      <c r="AN1004" s="103"/>
      <c r="AO1004" s="103"/>
      <c r="AP1004" s="103"/>
      <c r="AQ1004" s="103"/>
      <c r="AR1004" s="103"/>
      <c r="AS1004" s="103">
        <v>22</v>
      </c>
      <c r="AT1004" s="103"/>
      <c r="AU1004" s="103"/>
      <c r="AV1004" s="103"/>
      <c r="AW1004" s="104" t="str">
        <f>HYPERLINK("http://www.openstreetmap.org/?mlat=36.0642&amp;mlon=41.715&amp;zoom=12#map=12/36.0642/41.715","Maplink1")</f>
        <v>Maplink1</v>
      </c>
      <c r="AX1004" s="104" t="str">
        <f>HYPERLINK("https://www.google.iq/maps/search/+36.0642,41.715/@36.0642,41.715,14z?hl=en","Maplink2")</f>
        <v>Maplink2</v>
      </c>
      <c r="AY1004" s="104" t="str">
        <f>HYPERLINK("http://www.bing.com/maps/?lvl=14&amp;sty=h&amp;cp=36.0642~41.715&amp;sp=point.36.0642_41.715","Maplink3")</f>
        <v>Maplink3</v>
      </c>
    </row>
    <row r="1005" spans="1:51" x14ac:dyDescent="0.2">
      <c r="A1005" s="102">
        <v>34081</v>
      </c>
      <c r="B1005" s="103" t="s">
        <v>35</v>
      </c>
      <c r="C1005" s="103" t="s">
        <v>98</v>
      </c>
      <c r="D1005" s="103" t="s">
        <v>3954</v>
      </c>
      <c r="E1005" s="103" t="s">
        <v>3955</v>
      </c>
      <c r="F1005" s="103">
        <v>36.176606</v>
      </c>
      <c r="G1005" s="103">
        <v>41.472645</v>
      </c>
      <c r="H1005" s="102">
        <v>18</v>
      </c>
      <c r="I1005" s="102">
        <v>108</v>
      </c>
      <c r="J1005" s="103"/>
      <c r="K1005" s="103"/>
      <c r="L1005" s="103"/>
      <c r="M1005" s="103">
        <v>18</v>
      </c>
      <c r="N1005" s="103"/>
      <c r="O1005" s="103"/>
      <c r="P1005" s="103"/>
      <c r="Q1005" s="103"/>
      <c r="R1005" s="103"/>
      <c r="S1005" s="103"/>
      <c r="T1005" s="103"/>
      <c r="U1005" s="103"/>
      <c r="V1005" s="103"/>
      <c r="W1005" s="103"/>
      <c r="X1005" s="103"/>
      <c r="Y1005" s="103"/>
      <c r="Z1005" s="103"/>
      <c r="AA1005" s="103"/>
      <c r="AB1005" s="103"/>
      <c r="AC1005" s="103"/>
      <c r="AD1005" s="103"/>
      <c r="AE1005" s="103"/>
      <c r="AF1005" s="103"/>
      <c r="AG1005" s="103">
        <v>18</v>
      </c>
      <c r="AH1005" s="103"/>
      <c r="AI1005" s="103"/>
      <c r="AJ1005" s="103"/>
      <c r="AK1005" s="103"/>
      <c r="AL1005" s="103"/>
      <c r="AM1005" s="103"/>
      <c r="AN1005" s="103"/>
      <c r="AO1005" s="103"/>
      <c r="AP1005" s="103"/>
      <c r="AQ1005" s="103"/>
      <c r="AR1005" s="103"/>
      <c r="AS1005" s="103">
        <v>18</v>
      </c>
      <c r="AT1005" s="103"/>
      <c r="AU1005" s="103"/>
      <c r="AV1005" s="103"/>
      <c r="AW1005" s="104" t="str">
        <f>HYPERLINK("http://www.openstreetmap.org/?mlat=36.1766&amp;mlon=41.4726&amp;zoom=12#map=12/36.1766/41.4726","Maplink1")</f>
        <v>Maplink1</v>
      </c>
      <c r="AX1005" s="104" t="str">
        <f>HYPERLINK("https://www.google.iq/maps/search/+36.1766,41.4726/@36.1766,41.4726,14z?hl=en","Maplink2")</f>
        <v>Maplink2</v>
      </c>
      <c r="AY1005" s="104" t="str">
        <f>HYPERLINK("http://www.bing.com/maps/?lvl=14&amp;sty=h&amp;cp=36.1766~41.4726&amp;sp=point.36.1766_41.4726","Maplink3")</f>
        <v>Maplink3</v>
      </c>
    </row>
    <row r="1006" spans="1:51" x14ac:dyDescent="0.2">
      <c r="A1006" s="102">
        <v>34091</v>
      </c>
      <c r="B1006" s="103" t="s">
        <v>35</v>
      </c>
      <c r="C1006" s="103" t="s">
        <v>98</v>
      </c>
      <c r="D1006" s="103" t="s">
        <v>3956</v>
      </c>
      <c r="E1006" s="103" t="s">
        <v>3957</v>
      </c>
      <c r="F1006" s="103">
        <v>36.118903000000003</v>
      </c>
      <c r="G1006" s="103">
        <v>41.840004999999998</v>
      </c>
      <c r="H1006" s="102">
        <v>32</v>
      </c>
      <c r="I1006" s="102">
        <v>192</v>
      </c>
      <c r="J1006" s="103"/>
      <c r="K1006" s="103"/>
      <c r="L1006" s="103"/>
      <c r="M1006" s="103">
        <v>32</v>
      </c>
      <c r="N1006" s="103"/>
      <c r="O1006" s="103"/>
      <c r="P1006" s="103"/>
      <c r="Q1006" s="103"/>
      <c r="R1006" s="103"/>
      <c r="S1006" s="103"/>
      <c r="T1006" s="103"/>
      <c r="U1006" s="103"/>
      <c r="V1006" s="103"/>
      <c r="W1006" s="103"/>
      <c r="X1006" s="103"/>
      <c r="Y1006" s="103"/>
      <c r="Z1006" s="103"/>
      <c r="AA1006" s="103"/>
      <c r="AB1006" s="103"/>
      <c r="AC1006" s="103"/>
      <c r="AD1006" s="103"/>
      <c r="AE1006" s="103"/>
      <c r="AF1006" s="103"/>
      <c r="AG1006" s="103">
        <v>32</v>
      </c>
      <c r="AH1006" s="103"/>
      <c r="AI1006" s="103"/>
      <c r="AJ1006" s="103"/>
      <c r="AK1006" s="103"/>
      <c r="AL1006" s="103"/>
      <c r="AM1006" s="103"/>
      <c r="AN1006" s="103"/>
      <c r="AO1006" s="103"/>
      <c r="AP1006" s="103"/>
      <c r="AQ1006" s="103"/>
      <c r="AR1006" s="103"/>
      <c r="AS1006" s="103">
        <v>32</v>
      </c>
      <c r="AT1006" s="103"/>
      <c r="AU1006" s="103"/>
      <c r="AV1006" s="103"/>
      <c r="AW1006" s="104" t="str">
        <f>HYPERLINK("http://www.openstreetmap.org/?mlat=36.1189&amp;mlon=41.84&amp;zoom=12#map=12/36.1189/41.84","Maplink1")</f>
        <v>Maplink1</v>
      </c>
      <c r="AX1006" s="104" t="str">
        <f>HYPERLINK("https://www.google.iq/maps/search/+36.1189,41.84/@36.1189,41.84,14z?hl=en","Maplink2")</f>
        <v>Maplink2</v>
      </c>
      <c r="AY1006" s="104" t="str">
        <f>HYPERLINK("http://www.bing.com/maps/?lvl=14&amp;sty=h&amp;cp=36.1189~41.84&amp;sp=point.36.1189_41.84","Maplink3")</f>
        <v>Maplink3</v>
      </c>
    </row>
    <row r="1007" spans="1:51" x14ac:dyDescent="0.2">
      <c r="A1007" s="102">
        <v>18349</v>
      </c>
      <c r="B1007" s="103" t="s">
        <v>35</v>
      </c>
      <c r="C1007" s="103" t="s">
        <v>98</v>
      </c>
      <c r="D1007" s="103" t="s">
        <v>1972</v>
      </c>
      <c r="E1007" s="103" t="s">
        <v>207</v>
      </c>
      <c r="F1007" s="103">
        <v>36.044635</v>
      </c>
      <c r="G1007" s="103">
        <v>41.720289000000001</v>
      </c>
      <c r="H1007" s="102">
        <v>352</v>
      </c>
      <c r="I1007" s="102">
        <v>2112</v>
      </c>
      <c r="J1007" s="103">
        <v>10</v>
      </c>
      <c r="K1007" s="103"/>
      <c r="L1007" s="103"/>
      <c r="M1007" s="103">
        <v>316</v>
      </c>
      <c r="N1007" s="103">
        <v>26</v>
      </c>
      <c r="O1007" s="103"/>
      <c r="P1007" s="103"/>
      <c r="Q1007" s="103"/>
      <c r="R1007" s="103"/>
      <c r="S1007" s="103"/>
      <c r="T1007" s="103"/>
      <c r="U1007" s="103"/>
      <c r="V1007" s="103"/>
      <c r="W1007" s="103">
        <v>13</v>
      </c>
      <c r="X1007" s="103"/>
      <c r="Y1007" s="103"/>
      <c r="Z1007" s="103"/>
      <c r="AA1007" s="103"/>
      <c r="AB1007" s="103"/>
      <c r="AC1007" s="103"/>
      <c r="AD1007" s="103"/>
      <c r="AE1007" s="103"/>
      <c r="AF1007" s="103"/>
      <c r="AG1007" s="103">
        <v>339</v>
      </c>
      <c r="AH1007" s="103"/>
      <c r="AI1007" s="103"/>
      <c r="AJ1007" s="103"/>
      <c r="AK1007" s="103"/>
      <c r="AL1007" s="103"/>
      <c r="AM1007" s="103"/>
      <c r="AN1007" s="103"/>
      <c r="AO1007" s="103"/>
      <c r="AP1007" s="103"/>
      <c r="AQ1007" s="103"/>
      <c r="AR1007" s="103"/>
      <c r="AS1007" s="103">
        <v>352</v>
      </c>
      <c r="AT1007" s="103"/>
      <c r="AU1007" s="103"/>
      <c r="AV1007" s="103"/>
      <c r="AW1007" s="104" t="str">
        <f>HYPERLINK("http://www.openstreetmap.org/?mlat=36.0446&amp;mlon=41.7203&amp;zoom=12#map=12/36.0446/41.7203","Maplink1")</f>
        <v>Maplink1</v>
      </c>
      <c r="AX1007" s="104" t="str">
        <f>HYPERLINK("https://www.google.iq/maps/search/+36.0446,41.7203/@36.0446,41.7203,14z?hl=en","Maplink2")</f>
        <v>Maplink2</v>
      </c>
      <c r="AY1007" s="104" t="str">
        <f>HYPERLINK("http://www.bing.com/maps/?lvl=14&amp;sty=h&amp;cp=36.0446~41.7203&amp;sp=point.36.0446_41.7203","Maplink3")</f>
        <v>Maplink3</v>
      </c>
    </row>
    <row r="1008" spans="1:51" x14ac:dyDescent="0.2">
      <c r="A1008" s="102">
        <v>34084</v>
      </c>
      <c r="B1008" s="103" t="s">
        <v>35</v>
      </c>
      <c r="C1008" s="103" t="s">
        <v>98</v>
      </c>
      <c r="D1008" s="103" t="s">
        <v>3958</v>
      </c>
      <c r="E1008" s="103" t="s">
        <v>3959</v>
      </c>
      <c r="F1008" s="103">
        <v>36.055567000000003</v>
      </c>
      <c r="G1008" s="103">
        <v>41.724832999999997</v>
      </c>
      <c r="H1008" s="102">
        <v>11</v>
      </c>
      <c r="I1008" s="102">
        <v>66</v>
      </c>
      <c r="J1008" s="103"/>
      <c r="K1008" s="103"/>
      <c r="L1008" s="103"/>
      <c r="M1008" s="103">
        <v>11</v>
      </c>
      <c r="N1008" s="103"/>
      <c r="O1008" s="103"/>
      <c r="P1008" s="103"/>
      <c r="Q1008" s="103"/>
      <c r="R1008" s="103"/>
      <c r="S1008" s="103"/>
      <c r="T1008" s="103"/>
      <c r="U1008" s="103"/>
      <c r="V1008" s="103"/>
      <c r="W1008" s="103"/>
      <c r="X1008" s="103"/>
      <c r="Y1008" s="103"/>
      <c r="Z1008" s="103"/>
      <c r="AA1008" s="103"/>
      <c r="AB1008" s="103"/>
      <c r="AC1008" s="103"/>
      <c r="AD1008" s="103"/>
      <c r="AE1008" s="103"/>
      <c r="AF1008" s="103"/>
      <c r="AG1008" s="103">
        <v>11</v>
      </c>
      <c r="AH1008" s="103"/>
      <c r="AI1008" s="103"/>
      <c r="AJ1008" s="103"/>
      <c r="AK1008" s="103"/>
      <c r="AL1008" s="103"/>
      <c r="AM1008" s="103"/>
      <c r="AN1008" s="103"/>
      <c r="AO1008" s="103"/>
      <c r="AP1008" s="103"/>
      <c r="AQ1008" s="103"/>
      <c r="AR1008" s="103"/>
      <c r="AS1008" s="103">
        <v>11</v>
      </c>
      <c r="AT1008" s="103"/>
      <c r="AU1008" s="103"/>
      <c r="AV1008" s="103"/>
      <c r="AW1008" s="104" t="str">
        <f>HYPERLINK("http://www.openstreetmap.org/?mlat=36.0556&amp;mlon=41.7248&amp;zoom=12#map=12/36.0556/41.7248","Maplink1")</f>
        <v>Maplink1</v>
      </c>
      <c r="AX1008" s="104" t="str">
        <f>HYPERLINK("https://www.google.iq/maps/search/+36.0556,41.7248/@36.0556,41.7248,14z?hl=en","Maplink2")</f>
        <v>Maplink2</v>
      </c>
      <c r="AY1008" s="104" t="str">
        <f>HYPERLINK("http://www.bing.com/maps/?lvl=14&amp;sty=h&amp;cp=36.0556~41.7248&amp;sp=point.36.0556_41.7248","Maplink3")</f>
        <v>Maplink3</v>
      </c>
    </row>
    <row r="1009" spans="1:51" x14ac:dyDescent="0.2">
      <c r="A1009" s="102">
        <v>34013</v>
      </c>
      <c r="B1009" s="103" t="s">
        <v>35</v>
      </c>
      <c r="C1009" s="103" t="s">
        <v>98</v>
      </c>
      <c r="D1009" s="103" t="s">
        <v>623</v>
      </c>
      <c r="E1009" s="103" t="s">
        <v>195</v>
      </c>
      <c r="F1009" s="103">
        <v>36.038798999999997</v>
      </c>
      <c r="G1009" s="103">
        <v>41.718268999999999</v>
      </c>
      <c r="H1009" s="102">
        <v>185</v>
      </c>
      <c r="I1009" s="102">
        <v>1110</v>
      </c>
      <c r="J1009" s="103"/>
      <c r="K1009" s="103"/>
      <c r="L1009" s="103"/>
      <c r="M1009" s="103">
        <v>185</v>
      </c>
      <c r="N1009" s="103"/>
      <c r="O1009" s="103"/>
      <c r="P1009" s="103"/>
      <c r="Q1009" s="103"/>
      <c r="R1009" s="103"/>
      <c r="S1009" s="103"/>
      <c r="T1009" s="103"/>
      <c r="U1009" s="103"/>
      <c r="V1009" s="103"/>
      <c r="W1009" s="103"/>
      <c r="X1009" s="103"/>
      <c r="Y1009" s="103"/>
      <c r="Z1009" s="103"/>
      <c r="AA1009" s="103"/>
      <c r="AB1009" s="103"/>
      <c r="AC1009" s="103"/>
      <c r="AD1009" s="103"/>
      <c r="AE1009" s="103"/>
      <c r="AF1009" s="103"/>
      <c r="AG1009" s="103">
        <v>185</v>
      </c>
      <c r="AH1009" s="103"/>
      <c r="AI1009" s="103"/>
      <c r="AJ1009" s="103"/>
      <c r="AK1009" s="103"/>
      <c r="AL1009" s="103"/>
      <c r="AM1009" s="103"/>
      <c r="AN1009" s="103"/>
      <c r="AO1009" s="103"/>
      <c r="AP1009" s="103"/>
      <c r="AQ1009" s="103"/>
      <c r="AR1009" s="103"/>
      <c r="AS1009" s="103">
        <v>185</v>
      </c>
      <c r="AT1009" s="103"/>
      <c r="AU1009" s="103"/>
      <c r="AV1009" s="103"/>
      <c r="AW1009" s="104" t="str">
        <f>HYPERLINK("http://www.openstreetmap.org/?mlat=36.0388&amp;mlon=41.7183&amp;zoom=12#map=12/36.0388/41.7183","Maplink1")</f>
        <v>Maplink1</v>
      </c>
      <c r="AX1009" s="104" t="str">
        <f>HYPERLINK("https://www.google.iq/maps/search/+36.0388,41.7183/@36.0388,41.7183,14z?hl=en","Maplink2")</f>
        <v>Maplink2</v>
      </c>
      <c r="AY1009" s="104" t="str">
        <f>HYPERLINK("http://www.bing.com/maps/?lvl=14&amp;sty=h&amp;cp=36.0388~41.7183&amp;sp=point.36.0388_41.7183","Maplink3")</f>
        <v>Maplink3</v>
      </c>
    </row>
    <row r="1010" spans="1:51" x14ac:dyDescent="0.2">
      <c r="A1010" s="102">
        <v>34093</v>
      </c>
      <c r="B1010" s="103" t="s">
        <v>35</v>
      </c>
      <c r="C1010" s="103" t="s">
        <v>98</v>
      </c>
      <c r="D1010" s="103" t="s">
        <v>3960</v>
      </c>
      <c r="E1010" s="103" t="s">
        <v>3961</v>
      </c>
      <c r="F1010" s="103">
        <v>36.088189999999997</v>
      </c>
      <c r="G1010" s="103">
        <v>41.667475000000003</v>
      </c>
      <c r="H1010" s="102">
        <v>75</v>
      </c>
      <c r="I1010" s="102">
        <v>450</v>
      </c>
      <c r="J1010" s="103"/>
      <c r="K1010" s="103"/>
      <c r="L1010" s="103"/>
      <c r="M1010" s="103">
        <v>75</v>
      </c>
      <c r="N1010" s="103"/>
      <c r="O1010" s="103"/>
      <c r="P1010" s="103"/>
      <c r="Q1010" s="103"/>
      <c r="R1010" s="103"/>
      <c r="S1010" s="103"/>
      <c r="T1010" s="103"/>
      <c r="U1010" s="103"/>
      <c r="V1010" s="103"/>
      <c r="W1010" s="103"/>
      <c r="X1010" s="103"/>
      <c r="Y1010" s="103"/>
      <c r="Z1010" s="103"/>
      <c r="AA1010" s="103"/>
      <c r="AB1010" s="103"/>
      <c r="AC1010" s="103"/>
      <c r="AD1010" s="103"/>
      <c r="AE1010" s="103"/>
      <c r="AF1010" s="103"/>
      <c r="AG1010" s="103">
        <v>75</v>
      </c>
      <c r="AH1010" s="103"/>
      <c r="AI1010" s="103"/>
      <c r="AJ1010" s="103"/>
      <c r="AK1010" s="103"/>
      <c r="AL1010" s="103"/>
      <c r="AM1010" s="103"/>
      <c r="AN1010" s="103"/>
      <c r="AO1010" s="103"/>
      <c r="AP1010" s="103"/>
      <c r="AQ1010" s="103"/>
      <c r="AR1010" s="103"/>
      <c r="AS1010" s="103">
        <v>75</v>
      </c>
      <c r="AT1010" s="103"/>
      <c r="AU1010" s="103"/>
      <c r="AV1010" s="103"/>
      <c r="AW1010" s="104" t="str">
        <f>HYPERLINK("http://www.openstreetmap.org/?mlat=36.0882&amp;mlon=41.6675&amp;zoom=12#map=12/36.0882/41.6675","Maplink1")</f>
        <v>Maplink1</v>
      </c>
      <c r="AX1010" s="104" t="str">
        <f>HYPERLINK("https://www.google.iq/maps/search/+36.0882,41.6675/@36.0882,41.6675,14z?hl=en","Maplink2")</f>
        <v>Maplink2</v>
      </c>
      <c r="AY1010" s="104" t="str">
        <f>HYPERLINK("http://www.bing.com/maps/?lvl=14&amp;sty=h&amp;cp=36.0882~41.6675&amp;sp=point.36.0882_41.6675","Maplink3")</f>
        <v>Maplink3</v>
      </c>
    </row>
    <row r="1011" spans="1:51" x14ac:dyDescent="0.2">
      <c r="A1011" s="102">
        <v>33654</v>
      </c>
      <c r="B1011" s="103" t="s">
        <v>35</v>
      </c>
      <c r="C1011" s="103" t="s">
        <v>98</v>
      </c>
      <c r="D1011" s="103" t="s">
        <v>1952</v>
      </c>
      <c r="E1011" s="103" t="s">
        <v>1953</v>
      </c>
      <c r="F1011" s="103">
        <v>36.3033614</v>
      </c>
      <c r="G1011" s="103">
        <v>41.8253287</v>
      </c>
      <c r="H1011" s="102">
        <v>37</v>
      </c>
      <c r="I1011" s="102">
        <v>222</v>
      </c>
      <c r="J1011" s="103"/>
      <c r="K1011" s="103"/>
      <c r="L1011" s="103"/>
      <c r="M1011" s="103">
        <v>37</v>
      </c>
      <c r="N1011" s="103"/>
      <c r="O1011" s="103"/>
      <c r="P1011" s="103"/>
      <c r="Q1011" s="103"/>
      <c r="R1011" s="103"/>
      <c r="S1011" s="103"/>
      <c r="T1011" s="103"/>
      <c r="U1011" s="103"/>
      <c r="V1011" s="103"/>
      <c r="W1011" s="103"/>
      <c r="X1011" s="103"/>
      <c r="Y1011" s="103">
        <v>20</v>
      </c>
      <c r="Z1011" s="103"/>
      <c r="AA1011" s="103"/>
      <c r="AB1011" s="103"/>
      <c r="AC1011" s="103"/>
      <c r="AD1011" s="103"/>
      <c r="AE1011" s="103"/>
      <c r="AF1011" s="103"/>
      <c r="AG1011" s="103">
        <v>17</v>
      </c>
      <c r="AH1011" s="103"/>
      <c r="AI1011" s="103"/>
      <c r="AJ1011" s="103"/>
      <c r="AK1011" s="103"/>
      <c r="AL1011" s="103"/>
      <c r="AM1011" s="103"/>
      <c r="AN1011" s="103"/>
      <c r="AO1011" s="103">
        <v>37</v>
      </c>
      <c r="AP1011" s="103"/>
      <c r="AQ1011" s="103"/>
      <c r="AR1011" s="103"/>
      <c r="AS1011" s="103"/>
      <c r="AT1011" s="103"/>
      <c r="AU1011" s="103"/>
      <c r="AV1011" s="103"/>
      <c r="AW1011" s="104" t="str">
        <f>HYPERLINK("http://www.openstreetmap.org/?mlat=36.3034&amp;mlon=41.8253&amp;zoom=12#map=12/36.3034/41.8253","Maplink1")</f>
        <v>Maplink1</v>
      </c>
      <c r="AX1011" s="104" t="str">
        <f>HYPERLINK("https://www.google.iq/maps/search/+36.3034,41.8253/@36.3034,41.8253,14z?hl=en","Maplink2")</f>
        <v>Maplink2</v>
      </c>
      <c r="AY1011" s="104" t="str">
        <f>HYPERLINK("http://www.bing.com/maps/?lvl=14&amp;sty=h&amp;cp=36.3034~41.8253&amp;sp=point.36.3034_41.8253","Maplink3")</f>
        <v>Maplink3</v>
      </c>
    </row>
    <row r="1012" spans="1:51" x14ac:dyDescent="0.2">
      <c r="A1012" s="102">
        <v>33426</v>
      </c>
      <c r="B1012" s="103" t="s">
        <v>35</v>
      </c>
      <c r="C1012" s="103" t="s">
        <v>98</v>
      </c>
      <c r="D1012" s="103" t="s">
        <v>2011</v>
      </c>
      <c r="E1012" s="103" t="s">
        <v>2012</v>
      </c>
      <c r="F1012" s="103">
        <v>36.031455999999999</v>
      </c>
      <c r="G1012" s="103">
        <v>41.614127799999999</v>
      </c>
      <c r="H1012" s="102">
        <v>30</v>
      </c>
      <c r="I1012" s="102">
        <v>180</v>
      </c>
      <c r="J1012" s="103"/>
      <c r="K1012" s="103"/>
      <c r="L1012" s="103"/>
      <c r="M1012" s="103">
        <v>30</v>
      </c>
      <c r="N1012" s="103"/>
      <c r="O1012" s="103"/>
      <c r="P1012" s="103"/>
      <c r="Q1012" s="103"/>
      <c r="R1012" s="103"/>
      <c r="S1012" s="103"/>
      <c r="T1012" s="103"/>
      <c r="U1012" s="103"/>
      <c r="V1012" s="103"/>
      <c r="W1012" s="103"/>
      <c r="X1012" s="103"/>
      <c r="Y1012" s="103"/>
      <c r="Z1012" s="103"/>
      <c r="AA1012" s="103"/>
      <c r="AB1012" s="103"/>
      <c r="AC1012" s="103"/>
      <c r="AD1012" s="103"/>
      <c r="AE1012" s="103"/>
      <c r="AF1012" s="103"/>
      <c r="AG1012" s="103">
        <v>30</v>
      </c>
      <c r="AH1012" s="103"/>
      <c r="AI1012" s="103"/>
      <c r="AJ1012" s="103"/>
      <c r="AK1012" s="103"/>
      <c r="AL1012" s="103"/>
      <c r="AM1012" s="103"/>
      <c r="AN1012" s="103"/>
      <c r="AO1012" s="103"/>
      <c r="AP1012" s="103"/>
      <c r="AQ1012" s="103"/>
      <c r="AR1012" s="103"/>
      <c r="AS1012" s="103">
        <v>30</v>
      </c>
      <c r="AT1012" s="103"/>
      <c r="AU1012" s="103"/>
      <c r="AV1012" s="103"/>
      <c r="AW1012" s="104" t="str">
        <f>HYPERLINK("http://www.openstreetmap.org/?mlat=36.0315&amp;mlon=41.6141&amp;zoom=12#map=12/36.0315/41.6141","Maplink1")</f>
        <v>Maplink1</v>
      </c>
      <c r="AX1012" s="104" t="str">
        <f>HYPERLINK("https://www.google.iq/maps/search/+36.0315,41.6141/@36.0315,41.6141,14z?hl=en","Maplink2")</f>
        <v>Maplink2</v>
      </c>
      <c r="AY1012" s="104" t="str">
        <f>HYPERLINK("http://www.bing.com/maps/?lvl=14&amp;sty=h&amp;cp=36.0315~41.6141&amp;sp=point.36.0315_41.6141","Maplink3")</f>
        <v>Maplink3</v>
      </c>
    </row>
    <row r="1013" spans="1:51" x14ac:dyDescent="0.2">
      <c r="A1013" s="102">
        <v>23049</v>
      </c>
      <c r="B1013" s="103" t="s">
        <v>35</v>
      </c>
      <c r="C1013" s="103" t="s">
        <v>98</v>
      </c>
      <c r="D1013" s="103" t="s">
        <v>2013</v>
      </c>
      <c r="E1013" s="103" t="s">
        <v>157</v>
      </c>
      <c r="F1013" s="103">
        <v>36.039892000000002</v>
      </c>
      <c r="G1013" s="103">
        <v>41.721846999999997</v>
      </c>
      <c r="H1013" s="102">
        <v>112</v>
      </c>
      <c r="I1013" s="102">
        <v>672</v>
      </c>
      <c r="J1013" s="103"/>
      <c r="K1013" s="103"/>
      <c r="L1013" s="103"/>
      <c r="M1013" s="103">
        <v>110</v>
      </c>
      <c r="N1013" s="103">
        <v>2</v>
      </c>
      <c r="O1013" s="103"/>
      <c r="P1013" s="103"/>
      <c r="Q1013" s="103"/>
      <c r="R1013" s="103"/>
      <c r="S1013" s="103"/>
      <c r="T1013" s="103"/>
      <c r="U1013" s="103"/>
      <c r="V1013" s="103"/>
      <c r="W1013" s="103"/>
      <c r="X1013" s="103"/>
      <c r="Y1013" s="103"/>
      <c r="Z1013" s="103"/>
      <c r="AA1013" s="103"/>
      <c r="AB1013" s="103"/>
      <c r="AC1013" s="103"/>
      <c r="AD1013" s="103"/>
      <c r="AE1013" s="103"/>
      <c r="AF1013" s="103"/>
      <c r="AG1013" s="103">
        <v>112</v>
      </c>
      <c r="AH1013" s="103"/>
      <c r="AI1013" s="103"/>
      <c r="AJ1013" s="103"/>
      <c r="AK1013" s="103"/>
      <c r="AL1013" s="103"/>
      <c r="AM1013" s="103"/>
      <c r="AN1013" s="103"/>
      <c r="AO1013" s="103"/>
      <c r="AP1013" s="103"/>
      <c r="AQ1013" s="103"/>
      <c r="AR1013" s="103"/>
      <c r="AS1013" s="103">
        <v>112</v>
      </c>
      <c r="AT1013" s="103"/>
      <c r="AU1013" s="103"/>
      <c r="AV1013" s="103"/>
      <c r="AW1013" s="104" t="str">
        <f>HYPERLINK("http://www.openstreetmap.org/?mlat=36.0399&amp;mlon=41.7218&amp;zoom=12#map=12/36.0399/41.7218","Maplink1")</f>
        <v>Maplink1</v>
      </c>
      <c r="AX1013" s="104" t="str">
        <f>HYPERLINK("https://www.google.iq/maps/search/+36.0399,41.7218/@36.0399,41.7218,14z?hl=en","Maplink2")</f>
        <v>Maplink2</v>
      </c>
      <c r="AY1013" s="104" t="str">
        <f>HYPERLINK("http://www.bing.com/maps/?lvl=14&amp;sty=h&amp;cp=36.0399~41.7218&amp;sp=point.36.0399_41.7218","Maplink3")</f>
        <v>Maplink3</v>
      </c>
    </row>
    <row r="1014" spans="1:51" x14ac:dyDescent="0.2">
      <c r="A1014" s="102">
        <v>34069</v>
      </c>
      <c r="B1014" s="103" t="s">
        <v>35</v>
      </c>
      <c r="C1014" s="103" t="s">
        <v>98</v>
      </c>
      <c r="D1014" s="103" t="s">
        <v>3962</v>
      </c>
      <c r="E1014" s="103" t="s">
        <v>3963</v>
      </c>
      <c r="F1014" s="103">
        <v>36.054271999999997</v>
      </c>
      <c r="G1014" s="103">
        <v>41.391497000000001</v>
      </c>
      <c r="H1014" s="102">
        <v>50</v>
      </c>
      <c r="I1014" s="102">
        <v>300</v>
      </c>
      <c r="J1014" s="103"/>
      <c r="K1014" s="103"/>
      <c r="L1014" s="103"/>
      <c r="M1014" s="103">
        <v>50</v>
      </c>
      <c r="N1014" s="103"/>
      <c r="O1014" s="103"/>
      <c r="P1014" s="103"/>
      <c r="Q1014" s="103"/>
      <c r="R1014" s="103"/>
      <c r="S1014" s="103"/>
      <c r="T1014" s="103"/>
      <c r="U1014" s="103"/>
      <c r="V1014" s="103"/>
      <c r="W1014" s="103"/>
      <c r="X1014" s="103"/>
      <c r="Y1014" s="103"/>
      <c r="Z1014" s="103"/>
      <c r="AA1014" s="103"/>
      <c r="AB1014" s="103"/>
      <c r="AC1014" s="103"/>
      <c r="AD1014" s="103"/>
      <c r="AE1014" s="103"/>
      <c r="AF1014" s="103"/>
      <c r="AG1014" s="103">
        <v>50</v>
      </c>
      <c r="AH1014" s="103"/>
      <c r="AI1014" s="103"/>
      <c r="AJ1014" s="103"/>
      <c r="AK1014" s="103"/>
      <c r="AL1014" s="103"/>
      <c r="AM1014" s="103"/>
      <c r="AN1014" s="103"/>
      <c r="AO1014" s="103"/>
      <c r="AP1014" s="103"/>
      <c r="AQ1014" s="103"/>
      <c r="AR1014" s="103"/>
      <c r="AS1014" s="103">
        <v>50</v>
      </c>
      <c r="AT1014" s="103"/>
      <c r="AU1014" s="103"/>
      <c r="AV1014" s="103"/>
      <c r="AW1014" s="104" t="str">
        <f>HYPERLINK("http://www.openstreetmap.org/?mlat=36.0543&amp;mlon=41.3915&amp;zoom=12#map=12/36.0543/41.3915","Maplink1")</f>
        <v>Maplink1</v>
      </c>
      <c r="AX1014" s="104" t="str">
        <f>HYPERLINK("https://www.google.iq/maps/search/+36.0543,41.3915/@36.0543,41.3915,14z?hl=en","Maplink2")</f>
        <v>Maplink2</v>
      </c>
      <c r="AY1014" s="104" t="str">
        <f>HYPERLINK("http://www.bing.com/maps/?lvl=14&amp;sty=h&amp;cp=36.0543~41.3915&amp;sp=point.36.0543_41.3915","Maplink3")</f>
        <v>Maplink3</v>
      </c>
    </row>
    <row r="1015" spans="1:51" x14ac:dyDescent="0.2">
      <c r="A1015" s="102">
        <v>34080</v>
      </c>
      <c r="B1015" s="103" t="s">
        <v>35</v>
      </c>
      <c r="C1015" s="103" t="s">
        <v>98</v>
      </c>
      <c r="D1015" s="103" t="s">
        <v>3964</v>
      </c>
      <c r="E1015" s="103" t="s">
        <v>3965</v>
      </c>
      <c r="F1015" s="103">
        <v>36.100394999999999</v>
      </c>
      <c r="G1015" s="103">
        <v>41.399182000000003</v>
      </c>
      <c r="H1015" s="102">
        <v>27</v>
      </c>
      <c r="I1015" s="102">
        <v>162</v>
      </c>
      <c r="J1015" s="103"/>
      <c r="K1015" s="103"/>
      <c r="L1015" s="103"/>
      <c r="M1015" s="103">
        <v>27</v>
      </c>
      <c r="N1015" s="103"/>
      <c r="O1015" s="103"/>
      <c r="P1015" s="103"/>
      <c r="Q1015" s="103"/>
      <c r="R1015" s="103"/>
      <c r="S1015" s="103"/>
      <c r="T1015" s="103"/>
      <c r="U1015" s="103"/>
      <c r="V1015" s="103"/>
      <c r="W1015" s="103"/>
      <c r="X1015" s="103"/>
      <c r="Y1015" s="103"/>
      <c r="Z1015" s="103"/>
      <c r="AA1015" s="103"/>
      <c r="AB1015" s="103"/>
      <c r="AC1015" s="103"/>
      <c r="AD1015" s="103"/>
      <c r="AE1015" s="103"/>
      <c r="AF1015" s="103"/>
      <c r="AG1015" s="103">
        <v>27</v>
      </c>
      <c r="AH1015" s="103"/>
      <c r="AI1015" s="103"/>
      <c r="AJ1015" s="103"/>
      <c r="AK1015" s="103"/>
      <c r="AL1015" s="103"/>
      <c r="AM1015" s="103"/>
      <c r="AN1015" s="103"/>
      <c r="AO1015" s="103"/>
      <c r="AP1015" s="103"/>
      <c r="AQ1015" s="103"/>
      <c r="AR1015" s="103"/>
      <c r="AS1015" s="103">
        <v>27</v>
      </c>
      <c r="AT1015" s="103"/>
      <c r="AU1015" s="103"/>
      <c r="AV1015" s="103"/>
      <c r="AW1015" s="104" t="str">
        <f>HYPERLINK("http://www.openstreetmap.org/?mlat=36.1004&amp;mlon=41.3992&amp;zoom=12#map=12/36.1004/41.3992","Maplink1")</f>
        <v>Maplink1</v>
      </c>
      <c r="AX1015" s="104" t="str">
        <f>HYPERLINK("https://www.google.iq/maps/search/+36.1004,41.3992/@36.1004,41.3992,14z?hl=en","Maplink2")</f>
        <v>Maplink2</v>
      </c>
      <c r="AY1015" s="104" t="str">
        <f>HYPERLINK("http://www.bing.com/maps/?lvl=14&amp;sty=h&amp;cp=36.1004~41.3992&amp;sp=point.36.1004_41.3992","Maplink3")</f>
        <v>Maplink3</v>
      </c>
    </row>
    <row r="1016" spans="1:51" x14ac:dyDescent="0.2">
      <c r="A1016" s="102">
        <v>34088</v>
      </c>
      <c r="B1016" s="103" t="s">
        <v>35</v>
      </c>
      <c r="C1016" s="103" t="s">
        <v>98</v>
      </c>
      <c r="D1016" s="103" t="s">
        <v>3966</v>
      </c>
      <c r="E1016" s="103" t="s">
        <v>3967</v>
      </c>
      <c r="F1016" s="103">
        <v>36.098776000000001</v>
      </c>
      <c r="G1016" s="103">
        <v>41.701636000000001</v>
      </c>
      <c r="H1016" s="102">
        <v>22</v>
      </c>
      <c r="I1016" s="102">
        <v>132</v>
      </c>
      <c r="J1016" s="103"/>
      <c r="K1016" s="103"/>
      <c r="L1016" s="103"/>
      <c r="M1016" s="103">
        <v>22</v>
      </c>
      <c r="N1016" s="103"/>
      <c r="O1016" s="103"/>
      <c r="P1016" s="103"/>
      <c r="Q1016" s="103"/>
      <c r="R1016" s="103"/>
      <c r="S1016" s="103"/>
      <c r="T1016" s="103"/>
      <c r="U1016" s="103"/>
      <c r="V1016" s="103"/>
      <c r="W1016" s="103"/>
      <c r="X1016" s="103"/>
      <c r="Y1016" s="103"/>
      <c r="Z1016" s="103"/>
      <c r="AA1016" s="103"/>
      <c r="AB1016" s="103"/>
      <c r="AC1016" s="103"/>
      <c r="AD1016" s="103"/>
      <c r="AE1016" s="103"/>
      <c r="AF1016" s="103"/>
      <c r="AG1016" s="103">
        <v>22</v>
      </c>
      <c r="AH1016" s="103"/>
      <c r="AI1016" s="103"/>
      <c r="AJ1016" s="103"/>
      <c r="AK1016" s="103"/>
      <c r="AL1016" s="103"/>
      <c r="AM1016" s="103"/>
      <c r="AN1016" s="103"/>
      <c r="AO1016" s="103"/>
      <c r="AP1016" s="103"/>
      <c r="AQ1016" s="103"/>
      <c r="AR1016" s="103"/>
      <c r="AS1016" s="103">
        <v>22</v>
      </c>
      <c r="AT1016" s="103"/>
      <c r="AU1016" s="103"/>
      <c r="AV1016" s="103"/>
      <c r="AW1016" s="104" t="str">
        <f>HYPERLINK("http://www.openstreetmap.org/?mlat=36.0988&amp;mlon=41.7016&amp;zoom=12#map=12/36.0988/41.7016","Maplink1")</f>
        <v>Maplink1</v>
      </c>
      <c r="AX1016" s="104" t="str">
        <f>HYPERLINK("https://www.google.iq/maps/search/+36.0988,41.7016/@36.0988,41.7016,14z?hl=en","Maplink2")</f>
        <v>Maplink2</v>
      </c>
      <c r="AY1016" s="104" t="str">
        <f>HYPERLINK("http://www.bing.com/maps/?lvl=14&amp;sty=h&amp;cp=36.0988~41.7016&amp;sp=point.36.0988_41.7016","Maplink3")</f>
        <v>Maplink3</v>
      </c>
    </row>
    <row r="1017" spans="1:51" x14ac:dyDescent="0.2">
      <c r="A1017" s="102">
        <v>34089</v>
      </c>
      <c r="B1017" s="103" t="s">
        <v>35</v>
      </c>
      <c r="C1017" s="103" t="s">
        <v>98</v>
      </c>
      <c r="D1017" s="103" t="s">
        <v>3968</v>
      </c>
      <c r="E1017" s="103" t="s">
        <v>3969</v>
      </c>
      <c r="F1017" s="103">
        <v>36.054335000000002</v>
      </c>
      <c r="G1017" s="103">
        <v>41.697746000000002</v>
      </c>
      <c r="H1017" s="102">
        <v>18</v>
      </c>
      <c r="I1017" s="102">
        <v>108</v>
      </c>
      <c r="J1017" s="103"/>
      <c r="K1017" s="103"/>
      <c r="L1017" s="103"/>
      <c r="M1017" s="103">
        <v>18</v>
      </c>
      <c r="N1017" s="103"/>
      <c r="O1017" s="103"/>
      <c r="P1017" s="103"/>
      <c r="Q1017" s="103"/>
      <c r="R1017" s="103"/>
      <c r="S1017" s="103"/>
      <c r="T1017" s="103"/>
      <c r="U1017" s="103"/>
      <c r="V1017" s="103"/>
      <c r="W1017" s="103"/>
      <c r="X1017" s="103"/>
      <c r="Y1017" s="103"/>
      <c r="Z1017" s="103"/>
      <c r="AA1017" s="103"/>
      <c r="AB1017" s="103"/>
      <c r="AC1017" s="103"/>
      <c r="AD1017" s="103"/>
      <c r="AE1017" s="103"/>
      <c r="AF1017" s="103"/>
      <c r="AG1017" s="103">
        <v>18</v>
      </c>
      <c r="AH1017" s="103"/>
      <c r="AI1017" s="103"/>
      <c r="AJ1017" s="103"/>
      <c r="AK1017" s="103"/>
      <c r="AL1017" s="103"/>
      <c r="AM1017" s="103"/>
      <c r="AN1017" s="103"/>
      <c r="AO1017" s="103"/>
      <c r="AP1017" s="103"/>
      <c r="AQ1017" s="103"/>
      <c r="AR1017" s="103"/>
      <c r="AS1017" s="103">
        <v>18</v>
      </c>
      <c r="AT1017" s="103"/>
      <c r="AU1017" s="103"/>
      <c r="AV1017" s="103"/>
      <c r="AW1017" s="104" t="str">
        <f>HYPERLINK("http://www.openstreetmap.org/?mlat=36.0543&amp;mlon=41.6977&amp;zoom=12#map=12/36.0543/41.6977","Maplink1")</f>
        <v>Maplink1</v>
      </c>
      <c r="AX1017" s="104" t="str">
        <f>HYPERLINK("https://www.google.iq/maps/search/+36.0543,41.6977/@36.0543,41.6977,14z?hl=en","Maplink2")</f>
        <v>Maplink2</v>
      </c>
      <c r="AY1017" s="104" t="str">
        <f>HYPERLINK("http://www.bing.com/maps/?lvl=14&amp;sty=h&amp;cp=36.0543~41.6977&amp;sp=point.36.0543_41.6977","Maplink3")</f>
        <v>Maplink3</v>
      </c>
    </row>
    <row r="1018" spans="1:51" x14ac:dyDescent="0.2">
      <c r="A1018" s="102">
        <v>34011</v>
      </c>
      <c r="B1018" s="103" t="s">
        <v>35</v>
      </c>
      <c r="C1018" s="103" t="s">
        <v>98</v>
      </c>
      <c r="D1018" s="103" t="s">
        <v>1954</v>
      </c>
      <c r="E1018" s="103" t="s">
        <v>1955</v>
      </c>
      <c r="F1018" s="103">
        <v>36.038552000000003</v>
      </c>
      <c r="G1018" s="103">
        <v>41.711969000000003</v>
      </c>
      <c r="H1018" s="102">
        <v>641</v>
      </c>
      <c r="I1018" s="102">
        <v>3846</v>
      </c>
      <c r="J1018" s="103"/>
      <c r="K1018" s="103"/>
      <c r="L1018" s="103"/>
      <c r="M1018" s="103">
        <v>586</v>
      </c>
      <c r="N1018" s="103">
        <v>55</v>
      </c>
      <c r="O1018" s="103"/>
      <c r="P1018" s="103"/>
      <c r="Q1018" s="103"/>
      <c r="R1018" s="103"/>
      <c r="S1018" s="103"/>
      <c r="T1018" s="103"/>
      <c r="U1018" s="103"/>
      <c r="V1018" s="103"/>
      <c r="W1018" s="103"/>
      <c r="X1018" s="103"/>
      <c r="Y1018" s="103"/>
      <c r="Z1018" s="103"/>
      <c r="AA1018" s="103">
        <v>30</v>
      </c>
      <c r="AB1018" s="103"/>
      <c r="AC1018" s="103"/>
      <c r="AD1018" s="103"/>
      <c r="AE1018" s="103"/>
      <c r="AF1018" s="103"/>
      <c r="AG1018" s="103">
        <v>611</v>
      </c>
      <c r="AH1018" s="103"/>
      <c r="AI1018" s="103"/>
      <c r="AJ1018" s="103"/>
      <c r="AK1018" s="103"/>
      <c r="AL1018" s="103"/>
      <c r="AM1018" s="103"/>
      <c r="AN1018" s="103"/>
      <c r="AO1018" s="103"/>
      <c r="AP1018" s="103"/>
      <c r="AQ1018" s="103"/>
      <c r="AR1018" s="103"/>
      <c r="AS1018" s="103">
        <v>641</v>
      </c>
      <c r="AT1018" s="103"/>
      <c r="AU1018" s="103"/>
      <c r="AV1018" s="103"/>
      <c r="AW1018" s="104" t="str">
        <f>HYPERLINK("http://www.openstreetmap.org/?mlat=36.0386&amp;mlon=41.712&amp;zoom=12#map=12/36.0386/41.712","Maplink1")</f>
        <v>Maplink1</v>
      </c>
      <c r="AX1018" s="104" t="str">
        <f>HYPERLINK("https://www.google.iq/maps/search/+36.0386,41.712/@36.0386,41.712,14z?hl=en","Maplink2")</f>
        <v>Maplink2</v>
      </c>
      <c r="AY1018" s="104" t="str">
        <f>HYPERLINK("http://www.bing.com/maps/?lvl=14&amp;sty=h&amp;cp=36.0386~41.712&amp;sp=point.36.0386_41.712","Maplink3")</f>
        <v>Maplink3</v>
      </c>
    </row>
    <row r="1019" spans="1:51" x14ac:dyDescent="0.2">
      <c r="A1019" s="102">
        <v>34059</v>
      </c>
      <c r="B1019" s="103" t="s">
        <v>35</v>
      </c>
      <c r="C1019" s="103" t="s">
        <v>98</v>
      </c>
      <c r="D1019" s="103" t="s">
        <v>3970</v>
      </c>
      <c r="E1019" s="103" t="s">
        <v>3971</v>
      </c>
      <c r="F1019" s="103">
        <v>36.011828000000001</v>
      </c>
      <c r="G1019" s="103">
        <v>42.166983000000002</v>
      </c>
      <c r="H1019" s="102">
        <v>8</v>
      </c>
      <c r="I1019" s="102">
        <v>48</v>
      </c>
      <c r="J1019" s="103"/>
      <c r="K1019" s="103"/>
      <c r="L1019" s="103"/>
      <c r="M1019" s="103">
        <v>8</v>
      </c>
      <c r="N1019" s="103"/>
      <c r="O1019" s="103"/>
      <c r="P1019" s="103"/>
      <c r="Q1019" s="103"/>
      <c r="R1019" s="103"/>
      <c r="S1019" s="103"/>
      <c r="T1019" s="103"/>
      <c r="U1019" s="103"/>
      <c r="V1019" s="103"/>
      <c r="W1019" s="103"/>
      <c r="X1019" s="103"/>
      <c r="Y1019" s="103"/>
      <c r="Z1019" s="103"/>
      <c r="AA1019" s="103"/>
      <c r="AB1019" s="103"/>
      <c r="AC1019" s="103"/>
      <c r="AD1019" s="103"/>
      <c r="AE1019" s="103"/>
      <c r="AF1019" s="103"/>
      <c r="AG1019" s="103">
        <v>8</v>
      </c>
      <c r="AH1019" s="103"/>
      <c r="AI1019" s="103"/>
      <c r="AJ1019" s="103"/>
      <c r="AK1019" s="103"/>
      <c r="AL1019" s="103"/>
      <c r="AM1019" s="103"/>
      <c r="AN1019" s="103"/>
      <c r="AO1019" s="103"/>
      <c r="AP1019" s="103"/>
      <c r="AQ1019" s="103"/>
      <c r="AR1019" s="103"/>
      <c r="AS1019" s="103">
        <v>8</v>
      </c>
      <c r="AT1019" s="103"/>
      <c r="AU1019" s="103"/>
      <c r="AV1019" s="103"/>
      <c r="AW1019" s="104" t="str">
        <f>HYPERLINK("http://www.openstreetmap.org/?mlat=36.0118&amp;mlon=42.167&amp;zoom=12#map=12/36.0118/42.167","Maplink1")</f>
        <v>Maplink1</v>
      </c>
      <c r="AX1019" s="104" t="str">
        <f>HYPERLINK("https://www.google.iq/maps/search/+36.0118,42.167/@36.0118,42.167,14z?hl=en","Maplink2")</f>
        <v>Maplink2</v>
      </c>
      <c r="AY1019" s="104" t="str">
        <f>HYPERLINK("http://www.bing.com/maps/?lvl=14&amp;sty=h&amp;cp=36.0118~42.167&amp;sp=point.36.0118_42.167","Maplink3")</f>
        <v>Maplink3</v>
      </c>
    </row>
    <row r="1020" spans="1:51" x14ac:dyDescent="0.2">
      <c r="A1020" s="102">
        <v>33614</v>
      </c>
      <c r="B1020" s="103" t="s">
        <v>35</v>
      </c>
      <c r="C1020" s="103" t="s">
        <v>98</v>
      </c>
      <c r="D1020" s="103" t="s">
        <v>1993</v>
      </c>
      <c r="E1020" s="103" t="s">
        <v>1994</v>
      </c>
      <c r="F1020" s="103">
        <v>36.2910811</v>
      </c>
      <c r="G1020" s="103">
        <v>41.754618000000001</v>
      </c>
      <c r="H1020" s="102">
        <v>19</v>
      </c>
      <c r="I1020" s="102">
        <v>114</v>
      </c>
      <c r="J1020" s="103"/>
      <c r="K1020" s="103"/>
      <c r="L1020" s="103"/>
      <c r="M1020" s="103">
        <v>19</v>
      </c>
      <c r="N1020" s="103"/>
      <c r="O1020" s="103"/>
      <c r="P1020" s="103"/>
      <c r="Q1020" s="103"/>
      <c r="R1020" s="103"/>
      <c r="S1020" s="103"/>
      <c r="T1020" s="103"/>
      <c r="U1020" s="103"/>
      <c r="V1020" s="103"/>
      <c r="W1020" s="103"/>
      <c r="X1020" s="103"/>
      <c r="Y1020" s="103"/>
      <c r="Z1020" s="103"/>
      <c r="AA1020" s="103"/>
      <c r="AB1020" s="103"/>
      <c r="AC1020" s="103"/>
      <c r="AD1020" s="103"/>
      <c r="AE1020" s="103"/>
      <c r="AF1020" s="103"/>
      <c r="AG1020" s="103">
        <v>19</v>
      </c>
      <c r="AH1020" s="103"/>
      <c r="AI1020" s="103"/>
      <c r="AJ1020" s="103"/>
      <c r="AK1020" s="103"/>
      <c r="AL1020" s="103"/>
      <c r="AM1020" s="103"/>
      <c r="AN1020" s="103"/>
      <c r="AO1020" s="103">
        <v>19</v>
      </c>
      <c r="AP1020" s="103"/>
      <c r="AQ1020" s="103"/>
      <c r="AR1020" s="103"/>
      <c r="AS1020" s="103"/>
      <c r="AT1020" s="103"/>
      <c r="AU1020" s="103"/>
      <c r="AV1020" s="103"/>
      <c r="AW1020" s="104" t="str">
        <f>HYPERLINK("http://www.openstreetmap.org/?mlat=36.2911&amp;mlon=41.7546&amp;zoom=12#map=12/36.2911/41.7546","Maplink1")</f>
        <v>Maplink1</v>
      </c>
      <c r="AX1020" s="104" t="str">
        <f>HYPERLINK("https://www.google.iq/maps/search/+36.2911,41.7546/@36.2911,41.7546,14z?hl=en","Maplink2")</f>
        <v>Maplink2</v>
      </c>
      <c r="AY1020" s="104" t="str">
        <f>HYPERLINK("http://www.bing.com/maps/?lvl=14&amp;sty=h&amp;cp=36.2911~41.7546&amp;sp=point.36.2911_41.7546","Maplink3")</f>
        <v>Maplink3</v>
      </c>
    </row>
    <row r="1021" spans="1:51" x14ac:dyDescent="0.2">
      <c r="A1021" s="102">
        <v>34090</v>
      </c>
      <c r="B1021" s="103" t="s">
        <v>35</v>
      </c>
      <c r="C1021" s="103" t="s">
        <v>98</v>
      </c>
      <c r="D1021" s="103" t="s">
        <v>3972</v>
      </c>
      <c r="E1021" s="103" t="s">
        <v>492</v>
      </c>
      <c r="F1021" s="103">
        <v>36.056533000000002</v>
      </c>
      <c r="G1021" s="103">
        <v>41.696035999999999</v>
      </c>
      <c r="H1021" s="102">
        <v>23</v>
      </c>
      <c r="I1021" s="102">
        <v>138</v>
      </c>
      <c r="J1021" s="103"/>
      <c r="K1021" s="103"/>
      <c r="L1021" s="103"/>
      <c r="M1021" s="103">
        <v>23</v>
      </c>
      <c r="N1021" s="103"/>
      <c r="O1021" s="103"/>
      <c r="P1021" s="103"/>
      <c r="Q1021" s="103"/>
      <c r="R1021" s="103"/>
      <c r="S1021" s="103"/>
      <c r="T1021" s="103"/>
      <c r="U1021" s="103"/>
      <c r="V1021" s="103"/>
      <c r="W1021" s="103"/>
      <c r="X1021" s="103"/>
      <c r="Y1021" s="103"/>
      <c r="Z1021" s="103"/>
      <c r="AA1021" s="103"/>
      <c r="AB1021" s="103"/>
      <c r="AC1021" s="103"/>
      <c r="AD1021" s="103"/>
      <c r="AE1021" s="103"/>
      <c r="AF1021" s="103"/>
      <c r="AG1021" s="103">
        <v>23</v>
      </c>
      <c r="AH1021" s="103"/>
      <c r="AI1021" s="103"/>
      <c r="AJ1021" s="103"/>
      <c r="AK1021" s="103"/>
      <c r="AL1021" s="103"/>
      <c r="AM1021" s="103"/>
      <c r="AN1021" s="103"/>
      <c r="AO1021" s="103"/>
      <c r="AP1021" s="103"/>
      <c r="AQ1021" s="103"/>
      <c r="AR1021" s="103"/>
      <c r="AS1021" s="103">
        <v>23</v>
      </c>
      <c r="AT1021" s="103"/>
      <c r="AU1021" s="103"/>
      <c r="AV1021" s="103"/>
      <c r="AW1021" s="104" t="str">
        <f>HYPERLINK("http://www.openstreetmap.org/?mlat=36.0565&amp;mlon=41.696&amp;zoom=12#map=12/36.0565/41.696","Maplink1")</f>
        <v>Maplink1</v>
      </c>
      <c r="AX1021" s="104" t="str">
        <f>HYPERLINK("https://www.google.iq/maps/search/+36.0565,41.696/@36.0565,41.696,14z?hl=en","Maplink2")</f>
        <v>Maplink2</v>
      </c>
      <c r="AY1021" s="104" t="str">
        <f>HYPERLINK("http://www.bing.com/maps/?lvl=14&amp;sty=h&amp;cp=36.0565~41.696&amp;sp=point.36.0565_41.696","Maplink3")</f>
        <v>Maplink3</v>
      </c>
    </row>
    <row r="1022" spans="1:51" x14ac:dyDescent="0.2">
      <c r="A1022" s="102">
        <v>34073</v>
      </c>
      <c r="B1022" s="103" t="s">
        <v>35</v>
      </c>
      <c r="C1022" s="103" t="s">
        <v>98</v>
      </c>
      <c r="D1022" s="103" t="s">
        <v>3973</v>
      </c>
      <c r="E1022" s="103" t="s">
        <v>3974</v>
      </c>
      <c r="F1022" s="103">
        <v>35.971429999999998</v>
      </c>
      <c r="G1022" s="103">
        <v>41.632717</v>
      </c>
      <c r="H1022" s="102">
        <v>20</v>
      </c>
      <c r="I1022" s="102">
        <v>120</v>
      </c>
      <c r="J1022" s="103"/>
      <c r="K1022" s="103"/>
      <c r="L1022" s="103"/>
      <c r="M1022" s="103">
        <v>20</v>
      </c>
      <c r="N1022" s="103"/>
      <c r="O1022" s="103"/>
      <c r="P1022" s="103"/>
      <c r="Q1022" s="103"/>
      <c r="R1022" s="103"/>
      <c r="S1022" s="103"/>
      <c r="T1022" s="103"/>
      <c r="U1022" s="103"/>
      <c r="V1022" s="103"/>
      <c r="W1022" s="103"/>
      <c r="X1022" s="103"/>
      <c r="Y1022" s="103"/>
      <c r="Z1022" s="103"/>
      <c r="AA1022" s="103"/>
      <c r="AB1022" s="103"/>
      <c r="AC1022" s="103"/>
      <c r="AD1022" s="103"/>
      <c r="AE1022" s="103"/>
      <c r="AF1022" s="103"/>
      <c r="AG1022" s="103">
        <v>20</v>
      </c>
      <c r="AH1022" s="103"/>
      <c r="AI1022" s="103"/>
      <c r="AJ1022" s="103"/>
      <c r="AK1022" s="103"/>
      <c r="AL1022" s="103"/>
      <c r="AM1022" s="103"/>
      <c r="AN1022" s="103"/>
      <c r="AO1022" s="103"/>
      <c r="AP1022" s="103"/>
      <c r="AQ1022" s="103"/>
      <c r="AR1022" s="103"/>
      <c r="AS1022" s="103">
        <v>20</v>
      </c>
      <c r="AT1022" s="103"/>
      <c r="AU1022" s="103"/>
      <c r="AV1022" s="103"/>
      <c r="AW1022" s="104" t="str">
        <f>HYPERLINK("http://www.openstreetmap.org/?mlat=35.9714&amp;mlon=41.6327&amp;zoom=12#map=12/35.9714/41.6327","Maplink1")</f>
        <v>Maplink1</v>
      </c>
      <c r="AX1022" s="104" t="str">
        <f>HYPERLINK("https://www.google.iq/maps/search/+35.9714,41.6327/@35.9714,41.6327,14z?hl=en","Maplink2")</f>
        <v>Maplink2</v>
      </c>
      <c r="AY1022" s="104" t="str">
        <f>HYPERLINK("http://www.bing.com/maps/?lvl=14&amp;sty=h&amp;cp=35.9714~41.6327&amp;sp=point.35.9714_41.6327","Maplink3")</f>
        <v>Maplink3</v>
      </c>
    </row>
    <row r="1023" spans="1:51" x14ac:dyDescent="0.2">
      <c r="A1023" s="102">
        <v>33428</v>
      </c>
      <c r="B1023" s="103" t="s">
        <v>35</v>
      </c>
      <c r="C1023" s="103" t="s">
        <v>98</v>
      </c>
      <c r="D1023" s="103" t="s">
        <v>1977</v>
      </c>
      <c r="E1023" s="103" t="s">
        <v>1978</v>
      </c>
      <c r="F1023" s="103">
        <v>36.103625000000001</v>
      </c>
      <c r="G1023" s="103">
        <v>41.668993999999998</v>
      </c>
      <c r="H1023" s="102">
        <v>93</v>
      </c>
      <c r="I1023" s="102">
        <v>558</v>
      </c>
      <c r="J1023" s="103">
        <v>4</v>
      </c>
      <c r="K1023" s="103"/>
      <c r="L1023" s="103"/>
      <c r="M1023" s="103">
        <v>89</v>
      </c>
      <c r="N1023" s="103"/>
      <c r="O1023" s="103"/>
      <c r="P1023" s="103"/>
      <c r="Q1023" s="103"/>
      <c r="R1023" s="103"/>
      <c r="S1023" s="103"/>
      <c r="T1023" s="103"/>
      <c r="U1023" s="103"/>
      <c r="V1023" s="103"/>
      <c r="W1023" s="103"/>
      <c r="X1023" s="103"/>
      <c r="Y1023" s="103"/>
      <c r="Z1023" s="103"/>
      <c r="AA1023" s="103"/>
      <c r="AB1023" s="103"/>
      <c r="AC1023" s="103"/>
      <c r="AD1023" s="103"/>
      <c r="AE1023" s="103"/>
      <c r="AF1023" s="103"/>
      <c r="AG1023" s="103">
        <v>93</v>
      </c>
      <c r="AH1023" s="103"/>
      <c r="AI1023" s="103"/>
      <c r="AJ1023" s="103"/>
      <c r="AK1023" s="103"/>
      <c r="AL1023" s="103"/>
      <c r="AM1023" s="103"/>
      <c r="AN1023" s="103"/>
      <c r="AO1023" s="103"/>
      <c r="AP1023" s="103"/>
      <c r="AQ1023" s="103"/>
      <c r="AR1023" s="103"/>
      <c r="AS1023" s="103">
        <v>93</v>
      </c>
      <c r="AT1023" s="103"/>
      <c r="AU1023" s="103"/>
      <c r="AV1023" s="103"/>
      <c r="AW1023" s="104" t="str">
        <f>HYPERLINK("http://www.openstreetmap.org/?mlat=36.1036&amp;mlon=41.669&amp;zoom=12#map=12/36.1036/41.669","Maplink1")</f>
        <v>Maplink1</v>
      </c>
      <c r="AX1023" s="104" t="str">
        <f>HYPERLINK("https://www.google.iq/maps/search/+36.1036,41.669/@36.1036,41.669,14z?hl=en","Maplink2")</f>
        <v>Maplink2</v>
      </c>
      <c r="AY1023" s="104" t="str">
        <f>HYPERLINK("http://www.bing.com/maps/?lvl=14&amp;sty=h&amp;cp=36.1036~41.669&amp;sp=point.36.1036_41.669","Maplink3")</f>
        <v>Maplink3</v>
      </c>
    </row>
    <row r="1024" spans="1:51" x14ac:dyDescent="0.2">
      <c r="A1024" s="102">
        <v>33427</v>
      </c>
      <c r="B1024" s="103" t="s">
        <v>35</v>
      </c>
      <c r="C1024" s="103" t="s">
        <v>98</v>
      </c>
      <c r="D1024" s="103" t="s">
        <v>1979</v>
      </c>
      <c r="E1024" s="103" t="s">
        <v>1980</v>
      </c>
      <c r="F1024" s="103">
        <v>36.05856</v>
      </c>
      <c r="G1024" s="103">
        <v>41.612030599999997</v>
      </c>
      <c r="H1024" s="102">
        <v>46</v>
      </c>
      <c r="I1024" s="102">
        <v>276</v>
      </c>
      <c r="J1024" s="103"/>
      <c r="K1024" s="103"/>
      <c r="L1024" s="103"/>
      <c r="M1024" s="103">
        <v>46</v>
      </c>
      <c r="N1024" s="103"/>
      <c r="O1024" s="103"/>
      <c r="P1024" s="103"/>
      <c r="Q1024" s="103"/>
      <c r="R1024" s="103"/>
      <c r="S1024" s="103"/>
      <c r="T1024" s="103"/>
      <c r="U1024" s="103"/>
      <c r="V1024" s="103"/>
      <c r="W1024" s="103"/>
      <c r="X1024" s="103"/>
      <c r="Y1024" s="103"/>
      <c r="Z1024" s="103"/>
      <c r="AA1024" s="103"/>
      <c r="AB1024" s="103"/>
      <c r="AC1024" s="103"/>
      <c r="AD1024" s="103"/>
      <c r="AE1024" s="103"/>
      <c r="AF1024" s="103"/>
      <c r="AG1024" s="103">
        <v>46</v>
      </c>
      <c r="AH1024" s="103"/>
      <c r="AI1024" s="103"/>
      <c r="AJ1024" s="103"/>
      <c r="AK1024" s="103"/>
      <c r="AL1024" s="103"/>
      <c r="AM1024" s="103"/>
      <c r="AN1024" s="103"/>
      <c r="AO1024" s="103"/>
      <c r="AP1024" s="103"/>
      <c r="AQ1024" s="103"/>
      <c r="AR1024" s="103"/>
      <c r="AS1024" s="103">
        <v>46</v>
      </c>
      <c r="AT1024" s="103"/>
      <c r="AU1024" s="103"/>
      <c r="AV1024" s="103"/>
      <c r="AW1024" s="104" t="str">
        <f>HYPERLINK("http://www.openstreetmap.org/?mlat=36.0586&amp;mlon=41.612&amp;zoom=12#map=12/36.0586/41.612","Maplink1")</f>
        <v>Maplink1</v>
      </c>
      <c r="AX1024" s="104" t="str">
        <f>HYPERLINK("https://www.google.iq/maps/search/+36.0586,41.612/@36.0586,41.612,14z?hl=en","Maplink2")</f>
        <v>Maplink2</v>
      </c>
      <c r="AY1024" s="104" t="str">
        <f>HYPERLINK("http://www.bing.com/maps/?lvl=14&amp;sty=h&amp;cp=36.0586~41.612&amp;sp=point.36.0586_41.612","Maplink3")</f>
        <v>Maplink3</v>
      </c>
    </row>
    <row r="1025" spans="1:51" x14ac:dyDescent="0.2">
      <c r="A1025" s="102">
        <v>33635</v>
      </c>
      <c r="B1025" s="103" t="s">
        <v>35</v>
      </c>
      <c r="C1025" s="103" t="s">
        <v>98</v>
      </c>
      <c r="D1025" s="103" t="s">
        <v>3975</v>
      </c>
      <c r="E1025" s="103" t="s">
        <v>3976</v>
      </c>
      <c r="F1025" s="103">
        <v>35.998255999999998</v>
      </c>
      <c r="G1025" s="103">
        <v>41.790728000000001</v>
      </c>
      <c r="H1025" s="102">
        <v>12</v>
      </c>
      <c r="I1025" s="102">
        <v>72</v>
      </c>
      <c r="J1025" s="103"/>
      <c r="K1025" s="103"/>
      <c r="L1025" s="103"/>
      <c r="M1025" s="103">
        <v>12</v>
      </c>
      <c r="N1025" s="103"/>
      <c r="O1025" s="103"/>
      <c r="P1025" s="103"/>
      <c r="Q1025" s="103"/>
      <c r="R1025" s="103"/>
      <c r="S1025" s="103"/>
      <c r="T1025" s="103"/>
      <c r="U1025" s="103"/>
      <c r="V1025" s="103"/>
      <c r="W1025" s="103"/>
      <c r="X1025" s="103"/>
      <c r="Y1025" s="103"/>
      <c r="Z1025" s="103"/>
      <c r="AA1025" s="103"/>
      <c r="AB1025" s="103"/>
      <c r="AC1025" s="103"/>
      <c r="AD1025" s="103"/>
      <c r="AE1025" s="103"/>
      <c r="AF1025" s="103"/>
      <c r="AG1025" s="103">
        <v>12</v>
      </c>
      <c r="AH1025" s="103"/>
      <c r="AI1025" s="103"/>
      <c r="AJ1025" s="103"/>
      <c r="AK1025" s="103"/>
      <c r="AL1025" s="103"/>
      <c r="AM1025" s="103"/>
      <c r="AN1025" s="103"/>
      <c r="AO1025" s="103"/>
      <c r="AP1025" s="103"/>
      <c r="AQ1025" s="103"/>
      <c r="AR1025" s="103"/>
      <c r="AS1025" s="103">
        <v>12</v>
      </c>
      <c r="AT1025" s="103"/>
      <c r="AU1025" s="103"/>
      <c r="AV1025" s="103"/>
      <c r="AW1025" s="104" t="str">
        <f>HYPERLINK("http://www.openstreetmap.org/?mlat=35.9983&amp;mlon=41.7907&amp;zoom=12#map=12/35.9983/41.7907","Maplink1")</f>
        <v>Maplink1</v>
      </c>
      <c r="AX1025" s="104" t="str">
        <f>HYPERLINK("https://www.google.iq/maps/search/+35.9983,41.7907/@35.9983,41.7907,14z?hl=en","Maplink2")</f>
        <v>Maplink2</v>
      </c>
      <c r="AY1025" s="104" t="str">
        <f>HYPERLINK("http://www.bing.com/maps/?lvl=14&amp;sty=h&amp;cp=35.9983~41.7907&amp;sp=point.35.9983_41.7907","Maplink3")</f>
        <v>Maplink3</v>
      </c>
    </row>
    <row r="1026" spans="1:51" x14ac:dyDescent="0.2">
      <c r="A1026" s="102">
        <v>33855</v>
      </c>
      <c r="B1026" s="103" t="s">
        <v>35</v>
      </c>
      <c r="C1026" s="103" t="s">
        <v>98</v>
      </c>
      <c r="D1026" s="103" t="s">
        <v>1981</v>
      </c>
      <c r="E1026" s="103" t="s">
        <v>1982</v>
      </c>
      <c r="F1026" s="103">
        <v>36.085118999999999</v>
      </c>
      <c r="G1026" s="103">
        <v>41.711471000000003</v>
      </c>
      <c r="H1026" s="102">
        <v>28</v>
      </c>
      <c r="I1026" s="102">
        <v>168</v>
      </c>
      <c r="J1026" s="103"/>
      <c r="K1026" s="103"/>
      <c r="L1026" s="103"/>
      <c r="M1026" s="103">
        <v>28</v>
      </c>
      <c r="N1026" s="103"/>
      <c r="O1026" s="103"/>
      <c r="P1026" s="103"/>
      <c r="Q1026" s="103"/>
      <c r="R1026" s="103"/>
      <c r="S1026" s="103"/>
      <c r="T1026" s="103"/>
      <c r="U1026" s="103"/>
      <c r="V1026" s="103"/>
      <c r="W1026" s="103"/>
      <c r="X1026" s="103"/>
      <c r="Y1026" s="103"/>
      <c r="Z1026" s="103"/>
      <c r="AA1026" s="103"/>
      <c r="AB1026" s="103"/>
      <c r="AC1026" s="103"/>
      <c r="AD1026" s="103"/>
      <c r="AE1026" s="103"/>
      <c r="AF1026" s="103"/>
      <c r="AG1026" s="103">
        <v>28</v>
      </c>
      <c r="AH1026" s="103"/>
      <c r="AI1026" s="103"/>
      <c r="AJ1026" s="103"/>
      <c r="AK1026" s="103"/>
      <c r="AL1026" s="103"/>
      <c r="AM1026" s="103"/>
      <c r="AN1026" s="103"/>
      <c r="AO1026" s="103"/>
      <c r="AP1026" s="103"/>
      <c r="AQ1026" s="103"/>
      <c r="AR1026" s="103"/>
      <c r="AS1026" s="103">
        <v>28</v>
      </c>
      <c r="AT1026" s="103"/>
      <c r="AU1026" s="103"/>
      <c r="AV1026" s="103"/>
      <c r="AW1026" s="104" t="str">
        <f>HYPERLINK("http://www.openstreetmap.org/?mlat=36.0851&amp;mlon=41.7115&amp;zoom=12#map=12/36.0851/41.7115","Maplink1")</f>
        <v>Maplink1</v>
      </c>
      <c r="AX1026" s="104" t="str">
        <f>HYPERLINK("https://www.google.iq/maps/search/+36.0851,41.7115/@36.0851,41.7115,14z?hl=en","Maplink2")</f>
        <v>Maplink2</v>
      </c>
      <c r="AY1026" s="104" t="str">
        <f>HYPERLINK("http://www.bing.com/maps/?lvl=14&amp;sty=h&amp;cp=36.0851~41.7115&amp;sp=point.36.0851_41.7115","Maplink3")</f>
        <v>Maplink3</v>
      </c>
    </row>
    <row r="1027" spans="1:51" x14ac:dyDescent="0.2">
      <c r="A1027" s="102">
        <v>33902</v>
      </c>
      <c r="B1027" s="103" t="s">
        <v>35</v>
      </c>
      <c r="C1027" s="103" t="s">
        <v>98</v>
      </c>
      <c r="D1027" s="103" t="s">
        <v>1983</v>
      </c>
      <c r="E1027" s="103" t="s">
        <v>1984</v>
      </c>
      <c r="F1027" s="103">
        <v>36.030920000000002</v>
      </c>
      <c r="G1027" s="103">
        <v>41.950966999999999</v>
      </c>
      <c r="H1027" s="102">
        <v>112</v>
      </c>
      <c r="I1027" s="102">
        <v>672</v>
      </c>
      <c r="J1027" s="103"/>
      <c r="K1027" s="103"/>
      <c r="L1027" s="103"/>
      <c r="M1027" s="103">
        <v>95</v>
      </c>
      <c r="N1027" s="103">
        <v>17</v>
      </c>
      <c r="O1027" s="103"/>
      <c r="P1027" s="103"/>
      <c r="Q1027" s="103"/>
      <c r="R1027" s="103"/>
      <c r="S1027" s="103"/>
      <c r="T1027" s="103"/>
      <c r="U1027" s="103"/>
      <c r="V1027" s="103"/>
      <c r="W1027" s="103"/>
      <c r="X1027" s="103"/>
      <c r="Y1027" s="103">
        <v>10</v>
      </c>
      <c r="Z1027" s="103"/>
      <c r="AA1027" s="103">
        <v>27</v>
      </c>
      <c r="AB1027" s="103"/>
      <c r="AC1027" s="103"/>
      <c r="AD1027" s="103"/>
      <c r="AE1027" s="103"/>
      <c r="AF1027" s="103"/>
      <c r="AG1027" s="103">
        <v>75</v>
      </c>
      <c r="AH1027" s="103"/>
      <c r="AI1027" s="103"/>
      <c r="AJ1027" s="103"/>
      <c r="AK1027" s="103"/>
      <c r="AL1027" s="103"/>
      <c r="AM1027" s="103"/>
      <c r="AN1027" s="103"/>
      <c r="AO1027" s="103"/>
      <c r="AP1027" s="103"/>
      <c r="AQ1027" s="103"/>
      <c r="AR1027" s="103"/>
      <c r="AS1027" s="103">
        <v>112</v>
      </c>
      <c r="AT1027" s="103"/>
      <c r="AU1027" s="103"/>
      <c r="AV1027" s="103"/>
      <c r="AW1027" s="104" t="str">
        <f>HYPERLINK("http://www.openstreetmap.org/?mlat=36.0309&amp;mlon=41.951&amp;zoom=12#map=12/36.0309/41.951","Maplink1")</f>
        <v>Maplink1</v>
      </c>
      <c r="AX1027" s="104" t="str">
        <f>HYPERLINK("https://www.google.iq/maps/search/+36.0309,41.951/@36.0309,41.951,14z?hl=en","Maplink2")</f>
        <v>Maplink2</v>
      </c>
      <c r="AY1027" s="104" t="str">
        <f>HYPERLINK("http://www.bing.com/maps/?lvl=14&amp;sty=h&amp;cp=36.0309~41.951&amp;sp=point.36.0309_41.951","Maplink3")</f>
        <v>Maplink3</v>
      </c>
    </row>
    <row r="1028" spans="1:51" x14ac:dyDescent="0.2">
      <c r="A1028" s="102">
        <v>34066</v>
      </c>
      <c r="B1028" s="103" t="s">
        <v>35</v>
      </c>
      <c r="C1028" s="103" t="s">
        <v>98</v>
      </c>
      <c r="D1028" s="103" t="s">
        <v>3977</v>
      </c>
      <c r="E1028" s="103" t="s">
        <v>3978</v>
      </c>
      <c r="F1028" s="103">
        <v>36.077528000000001</v>
      </c>
      <c r="G1028" s="103">
        <v>41.728118000000002</v>
      </c>
      <c r="H1028" s="102">
        <v>15</v>
      </c>
      <c r="I1028" s="102">
        <v>90</v>
      </c>
      <c r="J1028" s="103"/>
      <c r="K1028" s="103"/>
      <c r="L1028" s="103"/>
      <c r="M1028" s="103">
        <v>15</v>
      </c>
      <c r="N1028" s="103"/>
      <c r="O1028" s="103"/>
      <c r="P1028" s="103"/>
      <c r="Q1028" s="103"/>
      <c r="R1028" s="103"/>
      <c r="S1028" s="103"/>
      <c r="T1028" s="103"/>
      <c r="U1028" s="103"/>
      <c r="V1028" s="103"/>
      <c r="W1028" s="103"/>
      <c r="X1028" s="103"/>
      <c r="Y1028" s="103"/>
      <c r="Z1028" s="103"/>
      <c r="AA1028" s="103"/>
      <c r="AB1028" s="103"/>
      <c r="AC1028" s="103"/>
      <c r="AD1028" s="103"/>
      <c r="AE1028" s="103"/>
      <c r="AF1028" s="103"/>
      <c r="AG1028" s="103">
        <v>15</v>
      </c>
      <c r="AH1028" s="103"/>
      <c r="AI1028" s="103"/>
      <c r="AJ1028" s="103"/>
      <c r="AK1028" s="103"/>
      <c r="AL1028" s="103"/>
      <c r="AM1028" s="103"/>
      <c r="AN1028" s="103"/>
      <c r="AO1028" s="103"/>
      <c r="AP1028" s="103"/>
      <c r="AQ1028" s="103"/>
      <c r="AR1028" s="103"/>
      <c r="AS1028" s="103">
        <v>15</v>
      </c>
      <c r="AT1028" s="103"/>
      <c r="AU1028" s="103"/>
      <c r="AV1028" s="103"/>
      <c r="AW1028" s="104" t="str">
        <f>HYPERLINK("http://www.openstreetmap.org/?mlat=36.0775&amp;mlon=41.7281&amp;zoom=12#map=12/36.0775/41.7281","Maplink1")</f>
        <v>Maplink1</v>
      </c>
      <c r="AX1028" s="104" t="str">
        <f>HYPERLINK("https://www.google.iq/maps/search/+36.0775,41.7281/@36.0775,41.7281,14z?hl=en","Maplink2")</f>
        <v>Maplink2</v>
      </c>
      <c r="AY1028" s="104" t="str">
        <f>HYPERLINK("http://www.bing.com/maps/?lvl=14&amp;sty=h&amp;cp=36.0775~41.7281&amp;sp=point.36.0775_41.7281","Maplink3")</f>
        <v>Maplink3</v>
      </c>
    </row>
    <row r="1029" spans="1:51" x14ac:dyDescent="0.2">
      <c r="A1029" s="102">
        <v>34087</v>
      </c>
      <c r="B1029" s="103" t="s">
        <v>35</v>
      </c>
      <c r="C1029" s="103" t="s">
        <v>98</v>
      </c>
      <c r="D1029" s="103" t="s">
        <v>3979</v>
      </c>
      <c r="E1029" s="103" t="s">
        <v>3980</v>
      </c>
      <c r="F1029" s="103">
        <v>36.106403999999998</v>
      </c>
      <c r="G1029" s="103">
        <v>41.709899</v>
      </c>
      <c r="H1029" s="102">
        <v>20</v>
      </c>
      <c r="I1029" s="102">
        <v>120</v>
      </c>
      <c r="J1029" s="103"/>
      <c r="K1029" s="103"/>
      <c r="L1029" s="103"/>
      <c r="M1029" s="103">
        <v>20</v>
      </c>
      <c r="N1029" s="103"/>
      <c r="O1029" s="103"/>
      <c r="P1029" s="103"/>
      <c r="Q1029" s="103"/>
      <c r="R1029" s="103"/>
      <c r="S1029" s="103"/>
      <c r="T1029" s="103"/>
      <c r="U1029" s="103"/>
      <c r="V1029" s="103"/>
      <c r="W1029" s="103"/>
      <c r="X1029" s="103"/>
      <c r="Y1029" s="103"/>
      <c r="Z1029" s="103"/>
      <c r="AA1029" s="103"/>
      <c r="AB1029" s="103"/>
      <c r="AC1029" s="103"/>
      <c r="AD1029" s="103"/>
      <c r="AE1029" s="103"/>
      <c r="AF1029" s="103"/>
      <c r="AG1029" s="103">
        <v>20</v>
      </c>
      <c r="AH1029" s="103"/>
      <c r="AI1029" s="103"/>
      <c r="AJ1029" s="103"/>
      <c r="AK1029" s="103"/>
      <c r="AL1029" s="103"/>
      <c r="AM1029" s="103"/>
      <c r="AN1029" s="103"/>
      <c r="AO1029" s="103"/>
      <c r="AP1029" s="103"/>
      <c r="AQ1029" s="103"/>
      <c r="AR1029" s="103"/>
      <c r="AS1029" s="103">
        <v>20</v>
      </c>
      <c r="AT1029" s="103"/>
      <c r="AU1029" s="103"/>
      <c r="AV1029" s="103"/>
      <c r="AW1029" s="104" t="str">
        <f>HYPERLINK("http://www.openstreetmap.org/?mlat=36.1064&amp;mlon=41.7099&amp;zoom=12#map=12/36.1064/41.7099","Maplink1")</f>
        <v>Maplink1</v>
      </c>
      <c r="AX1029" s="104" t="str">
        <f>HYPERLINK("https://www.google.iq/maps/search/+36.1064,41.7099/@36.1064,41.7099,14z?hl=en","Maplink2")</f>
        <v>Maplink2</v>
      </c>
      <c r="AY1029" s="104" t="str">
        <f>HYPERLINK("http://www.bing.com/maps/?lvl=14&amp;sty=h&amp;cp=36.1064~41.7099&amp;sp=point.36.1064_41.7099","Maplink3")</f>
        <v>Maplink3</v>
      </c>
    </row>
    <row r="1030" spans="1:51" x14ac:dyDescent="0.2">
      <c r="A1030" s="102">
        <v>34092</v>
      </c>
      <c r="B1030" s="103" t="s">
        <v>35</v>
      </c>
      <c r="C1030" s="103" t="s">
        <v>98</v>
      </c>
      <c r="D1030" s="103" t="s">
        <v>3981</v>
      </c>
      <c r="E1030" s="103" t="s">
        <v>3982</v>
      </c>
      <c r="F1030" s="103">
        <v>36.086751</v>
      </c>
      <c r="G1030" s="103">
        <v>41.622284999999998</v>
      </c>
      <c r="H1030" s="102">
        <v>9</v>
      </c>
      <c r="I1030" s="102">
        <v>54</v>
      </c>
      <c r="J1030" s="103"/>
      <c r="K1030" s="103"/>
      <c r="L1030" s="103"/>
      <c r="M1030" s="103">
        <v>9</v>
      </c>
      <c r="N1030" s="103"/>
      <c r="O1030" s="103"/>
      <c r="P1030" s="103"/>
      <c r="Q1030" s="103"/>
      <c r="R1030" s="103"/>
      <c r="S1030" s="103"/>
      <c r="T1030" s="103"/>
      <c r="U1030" s="103"/>
      <c r="V1030" s="103"/>
      <c r="W1030" s="103"/>
      <c r="X1030" s="103"/>
      <c r="Y1030" s="103"/>
      <c r="Z1030" s="103"/>
      <c r="AA1030" s="103"/>
      <c r="AB1030" s="103"/>
      <c r="AC1030" s="103"/>
      <c r="AD1030" s="103"/>
      <c r="AE1030" s="103"/>
      <c r="AF1030" s="103"/>
      <c r="AG1030" s="103">
        <v>9</v>
      </c>
      <c r="AH1030" s="103"/>
      <c r="AI1030" s="103"/>
      <c r="AJ1030" s="103"/>
      <c r="AK1030" s="103"/>
      <c r="AL1030" s="103"/>
      <c r="AM1030" s="103"/>
      <c r="AN1030" s="103"/>
      <c r="AO1030" s="103"/>
      <c r="AP1030" s="103"/>
      <c r="AQ1030" s="103"/>
      <c r="AR1030" s="103"/>
      <c r="AS1030" s="103">
        <v>9</v>
      </c>
      <c r="AT1030" s="103"/>
      <c r="AU1030" s="103"/>
      <c r="AV1030" s="103"/>
      <c r="AW1030" s="104" t="str">
        <f>HYPERLINK("http://www.openstreetmap.org/?mlat=36.0868&amp;mlon=41.6223&amp;zoom=12#map=12/36.0868/41.6223","Maplink1")</f>
        <v>Maplink1</v>
      </c>
      <c r="AX1030" s="104" t="str">
        <f>HYPERLINK("https://www.google.iq/maps/search/+36.0868,41.6223/@36.0868,41.6223,14z?hl=en","Maplink2")</f>
        <v>Maplink2</v>
      </c>
      <c r="AY1030" s="104" t="str">
        <f>HYPERLINK("http://www.bing.com/maps/?lvl=14&amp;sty=h&amp;cp=36.0868~41.6223&amp;sp=point.36.0868_41.6223","Maplink3")</f>
        <v>Maplink3</v>
      </c>
    </row>
    <row r="1031" spans="1:51" x14ac:dyDescent="0.2">
      <c r="A1031" s="102">
        <v>33430</v>
      </c>
      <c r="B1031" s="103" t="s">
        <v>35</v>
      </c>
      <c r="C1031" s="103" t="s">
        <v>98</v>
      </c>
      <c r="D1031" s="103" t="s">
        <v>1950</v>
      </c>
      <c r="E1031" s="103" t="s">
        <v>1951</v>
      </c>
      <c r="F1031" s="103">
        <v>36.015435099999998</v>
      </c>
      <c r="G1031" s="103">
        <v>41.748722700000002</v>
      </c>
      <c r="H1031" s="102">
        <v>34</v>
      </c>
      <c r="I1031" s="102">
        <v>204</v>
      </c>
      <c r="J1031" s="103"/>
      <c r="K1031" s="103"/>
      <c r="L1031" s="103"/>
      <c r="M1031" s="103">
        <v>31</v>
      </c>
      <c r="N1031" s="103">
        <v>3</v>
      </c>
      <c r="O1031" s="103"/>
      <c r="P1031" s="103"/>
      <c r="Q1031" s="103"/>
      <c r="R1031" s="103"/>
      <c r="S1031" s="103"/>
      <c r="T1031" s="103"/>
      <c r="U1031" s="103"/>
      <c r="V1031" s="103"/>
      <c r="W1031" s="103"/>
      <c r="X1031" s="103"/>
      <c r="Y1031" s="103"/>
      <c r="Z1031" s="103"/>
      <c r="AA1031" s="103"/>
      <c r="AB1031" s="103"/>
      <c r="AC1031" s="103"/>
      <c r="AD1031" s="103"/>
      <c r="AE1031" s="103"/>
      <c r="AF1031" s="103"/>
      <c r="AG1031" s="103">
        <v>34</v>
      </c>
      <c r="AH1031" s="103"/>
      <c r="AI1031" s="103"/>
      <c r="AJ1031" s="103"/>
      <c r="AK1031" s="103"/>
      <c r="AL1031" s="103"/>
      <c r="AM1031" s="103"/>
      <c r="AN1031" s="103"/>
      <c r="AO1031" s="103"/>
      <c r="AP1031" s="103"/>
      <c r="AQ1031" s="103"/>
      <c r="AR1031" s="103"/>
      <c r="AS1031" s="103">
        <v>34</v>
      </c>
      <c r="AT1031" s="103"/>
      <c r="AU1031" s="103"/>
      <c r="AV1031" s="103"/>
      <c r="AW1031" s="104" t="str">
        <f>HYPERLINK("http://www.openstreetmap.org/?mlat=36.0154&amp;mlon=41.7487&amp;zoom=12#map=12/36.0154/41.7487","Maplink1")</f>
        <v>Maplink1</v>
      </c>
      <c r="AX1031" s="104" t="str">
        <f>HYPERLINK("https://www.google.iq/maps/search/+36.0154,41.7487/@36.0154,41.7487,14z?hl=en","Maplink2")</f>
        <v>Maplink2</v>
      </c>
      <c r="AY1031" s="104" t="str">
        <f>HYPERLINK("http://www.bing.com/maps/?lvl=14&amp;sty=h&amp;cp=36.0154~41.7487&amp;sp=point.36.0154_41.7487","Maplink3")</f>
        <v>Maplink3</v>
      </c>
    </row>
    <row r="1032" spans="1:51" x14ac:dyDescent="0.2">
      <c r="A1032" s="102">
        <v>34061</v>
      </c>
      <c r="B1032" s="103" t="s">
        <v>35</v>
      </c>
      <c r="C1032" s="103" t="s">
        <v>98</v>
      </c>
      <c r="D1032" s="103" t="s">
        <v>3983</v>
      </c>
      <c r="E1032" s="103" t="s">
        <v>3984</v>
      </c>
      <c r="F1032" s="103">
        <v>36.026803999999998</v>
      </c>
      <c r="G1032" s="103">
        <v>41.869818000000002</v>
      </c>
      <c r="H1032" s="102">
        <v>14</v>
      </c>
      <c r="I1032" s="102">
        <v>84</v>
      </c>
      <c r="J1032" s="103"/>
      <c r="K1032" s="103"/>
      <c r="L1032" s="103"/>
      <c r="M1032" s="103">
        <v>14</v>
      </c>
      <c r="N1032" s="103"/>
      <c r="O1032" s="103"/>
      <c r="P1032" s="103"/>
      <c r="Q1032" s="103"/>
      <c r="R1032" s="103"/>
      <c r="S1032" s="103"/>
      <c r="T1032" s="103"/>
      <c r="U1032" s="103"/>
      <c r="V1032" s="103"/>
      <c r="W1032" s="103"/>
      <c r="X1032" s="103"/>
      <c r="Y1032" s="103"/>
      <c r="Z1032" s="103"/>
      <c r="AA1032" s="103"/>
      <c r="AB1032" s="103"/>
      <c r="AC1032" s="103"/>
      <c r="AD1032" s="103"/>
      <c r="AE1032" s="103"/>
      <c r="AF1032" s="103"/>
      <c r="AG1032" s="103">
        <v>14</v>
      </c>
      <c r="AH1032" s="103"/>
      <c r="AI1032" s="103"/>
      <c r="AJ1032" s="103"/>
      <c r="AK1032" s="103"/>
      <c r="AL1032" s="103"/>
      <c r="AM1032" s="103"/>
      <c r="AN1032" s="103"/>
      <c r="AO1032" s="103"/>
      <c r="AP1032" s="103"/>
      <c r="AQ1032" s="103"/>
      <c r="AR1032" s="103"/>
      <c r="AS1032" s="103">
        <v>14</v>
      </c>
      <c r="AT1032" s="103"/>
      <c r="AU1032" s="103"/>
      <c r="AV1032" s="103"/>
      <c r="AW1032" s="104" t="str">
        <f>HYPERLINK("http://www.openstreetmap.org/?mlat=36.0268&amp;mlon=41.8698&amp;zoom=12#map=12/36.0268/41.8698","Maplink1")</f>
        <v>Maplink1</v>
      </c>
      <c r="AX1032" s="104" t="str">
        <f>HYPERLINK("https://www.google.iq/maps/search/+36.0268,41.8698/@36.0268,41.8698,14z?hl=en","Maplink2")</f>
        <v>Maplink2</v>
      </c>
      <c r="AY1032" s="104" t="str">
        <f>HYPERLINK("http://www.bing.com/maps/?lvl=14&amp;sty=h&amp;cp=36.0268~41.8698&amp;sp=point.36.0268_41.8698","Maplink3")</f>
        <v>Maplink3</v>
      </c>
    </row>
    <row r="1033" spans="1:51" x14ac:dyDescent="0.2">
      <c r="A1033" s="102">
        <v>29611</v>
      </c>
      <c r="B1033" s="103" t="s">
        <v>35</v>
      </c>
      <c r="C1033" s="103" t="s">
        <v>99</v>
      </c>
      <c r="D1033" s="103" t="s">
        <v>2096</v>
      </c>
      <c r="E1033" s="103" t="s">
        <v>2097</v>
      </c>
      <c r="F1033" s="103">
        <v>36.209584999999997</v>
      </c>
      <c r="G1033" s="103">
        <v>43.527722659299997</v>
      </c>
      <c r="H1033" s="102">
        <v>385</v>
      </c>
      <c r="I1033" s="102">
        <v>2310</v>
      </c>
      <c r="J1033" s="103"/>
      <c r="K1033" s="103"/>
      <c r="L1033" s="103"/>
      <c r="M1033" s="103">
        <v>385</v>
      </c>
      <c r="N1033" s="103"/>
      <c r="O1033" s="103"/>
      <c r="P1033" s="103"/>
      <c r="Q1033" s="103"/>
      <c r="R1033" s="103"/>
      <c r="S1033" s="103"/>
      <c r="T1033" s="103"/>
      <c r="U1033" s="103"/>
      <c r="V1033" s="103"/>
      <c r="W1033" s="103"/>
      <c r="X1033" s="103"/>
      <c r="Y1033" s="103">
        <v>100</v>
      </c>
      <c r="Z1033" s="103"/>
      <c r="AA1033" s="103">
        <v>285</v>
      </c>
      <c r="AB1033" s="103"/>
      <c r="AC1033" s="103"/>
      <c r="AD1033" s="103"/>
      <c r="AE1033" s="103"/>
      <c r="AF1033" s="103"/>
      <c r="AG1033" s="103"/>
      <c r="AH1033" s="103"/>
      <c r="AI1033" s="103"/>
      <c r="AJ1033" s="103"/>
      <c r="AK1033" s="103"/>
      <c r="AL1033" s="103"/>
      <c r="AM1033" s="103"/>
      <c r="AN1033" s="103"/>
      <c r="AO1033" s="103">
        <v>385</v>
      </c>
      <c r="AP1033" s="103"/>
      <c r="AQ1033" s="103"/>
      <c r="AR1033" s="103"/>
      <c r="AS1033" s="103"/>
      <c r="AT1033" s="103"/>
      <c r="AU1033" s="103"/>
      <c r="AV1033" s="103"/>
      <c r="AW1033" s="104" t="str">
        <f>HYPERLINK("http://www.openstreetmap.org/?mlat=36.2096&amp;mlon=43.5277&amp;zoom=12#map=12/36.2096/43.5277","Maplink1")</f>
        <v>Maplink1</v>
      </c>
      <c r="AX1033" s="104" t="str">
        <f>HYPERLINK("https://www.google.iq/maps/search/+36.2096,43.5277/@36.2096,43.5277,14z?hl=en","Maplink2")</f>
        <v>Maplink2</v>
      </c>
      <c r="AY1033" s="104" t="str">
        <f>HYPERLINK("http://www.bing.com/maps/?lvl=14&amp;sty=h&amp;cp=36.2096~43.5277&amp;sp=point.36.2096_43.5277","Maplink3")</f>
        <v>Maplink3</v>
      </c>
    </row>
    <row r="1034" spans="1:51" x14ac:dyDescent="0.2">
      <c r="A1034" s="102">
        <v>33344</v>
      </c>
      <c r="B1034" s="103" t="s">
        <v>35</v>
      </c>
      <c r="C1034" s="103" t="s">
        <v>99</v>
      </c>
      <c r="D1034" s="103" t="s">
        <v>2098</v>
      </c>
      <c r="E1034" s="103" t="s">
        <v>2099</v>
      </c>
      <c r="F1034" s="103">
        <v>36.132283999999999</v>
      </c>
      <c r="G1034" s="103">
        <v>43.471839000000003</v>
      </c>
      <c r="H1034" s="102">
        <v>112</v>
      </c>
      <c r="I1034" s="102">
        <v>672</v>
      </c>
      <c r="J1034" s="103"/>
      <c r="K1034" s="103"/>
      <c r="L1034" s="103"/>
      <c r="M1034" s="103">
        <v>112</v>
      </c>
      <c r="N1034" s="103"/>
      <c r="O1034" s="103"/>
      <c r="P1034" s="103"/>
      <c r="Q1034" s="103"/>
      <c r="R1034" s="103"/>
      <c r="S1034" s="103"/>
      <c r="T1034" s="103"/>
      <c r="U1034" s="103"/>
      <c r="V1034" s="103"/>
      <c r="W1034" s="103">
        <v>88</v>
      </c>
      <c r="X1034" s="103"/>
      <c r="Y1034" s="103"/>
      <c r="Z1034" s="103"/>
      <c r="AA1034" s="103"/>
      <c r="AB1034" s="103"/>
      <c r="AC1034" s="103"/>
      <c r="AD1034" s="103">
        <v>7</v>
      </c>
      <c r="AE1034" s="103">
        <v>1</v>
      </c>
      <c r="AF1034" s="103"/>
      <c r="AG1034" s="103"/>
      <c r="AH1034" s="103"/>
      <c r="AI1034" s="103"/>
      <c r="AJ1034" s="103"/>
      <c r="AK1034" s="103"/>
      <c r="AL1034" s="103">
        <v>16</v>
      </c>
      <c r="AM1034" s="103"/>
      <c r="AN1034" s="103"/>
      <c r="AO1034" s="103">
        <v>112</v>
      </c>
      <c r="AP1034" s="103"/>
      <c r="AQ1034" s="103"/>
      <c r="AR1034" s="103"/>
      <c r="AS1034" s="103"/>
      <c r="AT1034" s="103"/>
      <c r="AU1034" s="103"/>
      <c r="AV1034" s="103"/>
      <c r="AW1034" s="104" t="str">
        <f>HYPERLINK("http://www.openstreetmap.org/?mlat=36.1323&amp;mlon=43.4718&amp;zoom=12#map=12/36.1323/43.4718","Maplink1")</f>
        <v>Maplink1</v>
      </c>
      <c r="AX1034" s="104" t="str">
        <f>HYPERLINK("https://www.google.iq/maps/search/+36.1323,43.4718/@36.1323,43.4718,14z?hl=en","Maplink2")</f>
        <v>Maplink2</v>
      </c>
      <c r="AY1034" s="104" t="str">
        <f>HYPERLINK("http://www.bing.com/maps/?lvl=14&amp;sty=h&amp;cp=36.1323~43.4718&amp;sp=point.36.1323_43.4718","Maplink3")</f>
        <v>Maplink3</v>
      </c>
    </row>
    <row r="1035" spans="1:51" x14ac:dyDescent="0.2">
      <c r="A1035" s="102">
        <v>22314</v>
      </c>
      <c r="B1035" s="103" t="s">
        <v>35</v>
      </c>
      <c r="C1035" s="103" t="s">
        <v>99</v>
      </c>
      <c r="D1035" s="103" t="s">
        <v>2052</v>
      </c>
      <c r="E1035" s="103" t="s">
        <v>2053</v>
      </c>
      <c r="F1035" s="103">
        <v>36.350965000000002</v>
      </c>
      <c r="G1035" s="103">
        <v>43.334930549399999</v>
      </c>
      <c r="H1035" s="102">
        <v>890</v>
      </c>
      <c r="I1035" s="102">
        <v>5340</v>
      </c>
      <c r="J1035" s="103"/>
      <c r="K1035" s="103"/>
      <c r="L1035" s="103"/>
      <c r="M1035" s="103">
        <v>890</v>
      </c>
      <c r="N1035" s="103"/>
      <c r="O1035" s="103"/>
      <c r="P1035" s="103"/>
      <c r="Q1035" s="103"/>
      <c r="R1035" s="103"/>
      <c r="S1035" s="103"/>
      <c r="T1035" s="103"/>
      <c r="U1035" s="103"/>
      <c r="V1035" s="103">
        <v>52</v>
      </c>
      <c r="W1035" s="103">
        <v>42</v>
      </c>
      <c r="X1035" s="103"/>
      <c r="Y1035" s="103">
        <v>35</v>
      </c>
      <c r="Z1035" s="103">
        <v>1</v>
      </c>
      <c r="AA1035" s="103">
        <v>371</v>
      </c>
      <c r="AB1035" s="103">
        <v>111</v>
      </c>
      <c r="AC1035" s="103"/>
      <c r="AD1035" s="103">
        <v>4</v>
      </c>
      <c r="AE1035" s="103"/>
      <c r="AF1035" s="103">
        <v>76</v>
      </c>
      <c r="AG1035" s="103">
        <v>85</v>
      </c>
      <c r="AH1035" s="103">
        <v>9</v>
      </c>
      <c r="AI1035" s="103"/>
      <c r="AJ1035" s="103">
        <v>5</v>
      </c>
      <c r="AK1035" s="103">
        <v>6</v>
      </c>
      <c r="AL1035" s="103">
        <v>93</v>
      </c>
      <c r="AM1035" s="103"/>
      <c r="AN1035" s="103"/>
      <c r="AO1035" s="103">
        <v>890</v>
      </c>
      <c r="AP1035" s="103"/>
      <c r="AQ1035" s="103"/>
      <c r="AR1035" s="103"/>
      <c r="AS1035" s="103"/>
      <c r="AT1035" s="103"/>
      <c r="AU1035" s="103"/>
      <c r="AV1035" s="103"/>
      <c r="AW1035" s="104" t="str">
        <f>HYPERLINK("http://www.openstreetmap.org/?mlat=36.351&amp;mlon=43.3349&amp;zoom=12#map=12/36.351/43.3349","Maplink1")</f>
        <v>Maplink1</v>
      </c>
      <c r="AX1035" s="104" t="str">
        <f>HYPERLINK("https://www.google.iq/maps/search/+36.351,43.3349/@36.351,43.3349,14z?hl=en","Maplink2")</f>
        <v>Maplink2</v>
      </c>
      <c r="AY1035" s="104" t="str">
        <f>HYPERLINK("http://www.bing.com/maps/?lvl=14&amp;sty=h&amp;cp=36.351~43.3349&amp;sp=point.36.351_43.3349","Maplink3")</f>
        <v>Maplink3</v>
      </c>
    </row>
    <row r="1036" spans="1:51" x14ac:dyDescent="0.2">
      <c r="A1036" s="102">
        <v>17892</v>
      </c>
      <c r="B1036" s="103" t="s">
        <v>35</v>
      </c>
      <c r="C1036" s="103" t="s">
        <v>99</v>
      </c>
      <c r="D1036" s="103" t="s">
        <v>2054</v>
      </c>
      <c r="E1036" s="103" t="s">
        <v>2055</v>
      </c>
      <c r="F1036" s="103">
        <v>36.169772999999999</v>
      </c>
      <c r="G1036" s="103">
        <v>43.485448024199997</v>
      </c>
      <c r="H1036" s="102">
        <v>367</v>
      </c>
      <c r="I1036" s="102">
        <v>2202</v>
      </c>
      <c r="J1036" s="103"/>
      <c r="K1036" s="103"/>
      <c r="L1036" s="103"/>
      <c r="M1036" s="103">
        <v>367</v>
      </c>
      <c r="N1036" s="103"/>
      <c r="O1036" s="103"/>
      <c r="P1036" s="103"/>
      <c r="Q1036" s="103"/>
      <c r="R1036" s="103"/>
      <c r="S1036" s="103"/>
      <c r="T1036" s="103"/>
      <c r="U1036" s="103"/>
      <c r="V1036" s="103">
        <v>14</v>
      </c>
      <c r="W1036" s="103">
        <v>78</v>
      </c>
      <c r="X1036" s="103"/>
      <c r="Y1036" s="103"/>
      <c r="Z1036" s="103"/>
      <c r="AA1036" s="103">
        <v>25</v>
      </c>
      <c r="AB1036" s="103">
        <v>47</v>
      </c>
      <c r="AC1036" s="103"/>
      <c r="AD1036" s="103">
        <v>30</v>
      </c>
      <c r="AE1036" s="103">
        <v>33</v>
      </c>
      <c r="AF1036" s="103">
        <v>32</v>
      </c>
      <c r="AG1036" s="103">
        <v>2</v>
      </c>
      <c r="AH1036" s="103">
        <v>30</v>
      </c>
      <c r="AI1036" s="103"/>
      <c r="AJ1036" s="103"/>
      <c r="AK1036" s="103"/>
      <c r="AL1036" s="103">
        <v>76</v>
      </c>
      <c r="AM1036" s="103"/>
      <c r="AN1036" s="103"/>
      <c r="AO1036" s="103">
        <v>367</v>
      </c>
      <c r="AP1036" s="103"/>
      <c r="AQ1036" s="103"/>
      <c r="AR1036" s="103"/>
      <c r="AS1036" s="103"/>
      <c r="AT1036" s="103"/>
      <c r="AU1036" s="103"/>
      <c r="AV1036" s="103"/>
      <c r="AW1036" s="104" t="str">
        <f>HYPERLINK("http://www.openstreetmap.org/?mlat=36.1698&amp;mlon=43.4854&amp;zoom=12#map=12/36.1698/43.4854","Maplink1")</f>
        <v>Maplink1</v>
      </c>
      <c r="AX1036" s="104" t="str">
        <f>HYPERLINK("https://www.google.iq/maps/search/+36.1698,43.4854/@36.1698,43.4854,14z?hl=en","Maplink2")</f>
        <v>Maplink2</v>
      </c>
      <c r="AY1036" s="104" t="str">
        <f>HYPERLINK("http://www.bing.com/maps/?lvl=14&amp;sty=h&amp;cp=36.1698~43.4854&amp;sp=point.36.1698_43.4854","Maplink3")</f>
        <v>Maplink3</v>
      </c>
    </row>
    <row r="1037" spans="1:51" x14ac:dyDescent="0.2">
      <c r="A1037" s="102">
        <v>21940</v>
      </c>
      <c r="B1037" s="103" t="s">
        <v>35</v>
      </c>
      <c r="C1037" s="103" t="s">
        <v>99</v>
      </c>
      <c r="D1037" s="103" t="s">
        <v>2056</v>
      </c>
      <c r="E1037" s="103" t="s">
        <v>2057</v>
      </c>
      <c r="F1037" s="103">
        <v>36.299300000000002</v>
      </c>
      <c r="G1037" s="103">
        <v>43.262420748899999</v>
      </c>
      <c r="H1037" s="102">
        <v>135</v>
      </c>
      <c r="I1037" s="102">
        <v>810</v>
      </c>
      <c r="J1037" s="103"/>
      <c r="K1037" s="103"/>
      <c r="L1037" s="103"/>
      <c r="M1037" s="103">
        <v>135</v>
      </c>
      <c r="N1037" s="103"/>
      <c r="O1037" s="103"/>
      <c r="P1037" s="103"/>
      <c r="Q1037" s="103"/>
      <c r="R1037" s="103"/>
      <c r="S1037" s="103"/>
      <c r="T1037" s="103"/>
      <c r="U1037" s="103"/>
      <c r="V1037" s="103"/>
      <c r="W1037" s="103"/>
      <c r="X1037" s="103"/>
      <c r="Y1037" s="103"/>
      <c r="Z1037" s="103"/>
      <c r="AA1037" s="103">
        <v>10</v>
      </c>
      <c r="AB1037" s="103"/>
      <c r="AC1037" s="103"/>
      <c r="AD1037" s="103"/>
      <c r="AE1037" s="103"/>
      <c r="AF1037" s="103"/>
      <c r="AG1037" s="103">
        <v>125</v>
      </c>
      <c r="AH1037" s="103"/>
      <c r="AI1037" s="103"/>
      <c r="AJ1037" s="103"/>
      <c r="AK1037" s="103"/>
      <c r="AL1037" s="103"/>
      <c r="AM1037" s="103"/>
      <c r="AN1037" s="103"/>
      <c r="AO1037" s="103"/>
      <c r="AP1037" s="103"/>
      <c r="AQ1037" s="103"/>
      <c r="AR1037" s="103"/>
      <c r="AS1037" s="103">
        <v>135</v>
      </c>
      <c r="AT1037" s="103"/>
      <c r="AU1037" s="103"/>
      <c r="AV1037" s="103"/>
      <c r="AW1037" s="104" t="str">
        <f>HYPERLINK("http://www.openstreetmap.org/?mlat=36.2993&amp;mlon=43.2624&amp;zoom=12#map=12/36.2993/43.2624","Maplink1")</f>
        <v>Maplink1</v>
      </c>
      <c r="AX1037" s="104" t="str">
        <f>HYPERLINK("https://www.google.iq/maps/search/+36.2993,43.2624/@36.2993,43.2624,14z?hl=en","Maplink2")</f>
        <v>Maplink2</v>
      </c>
      <c r="AY1037" s="104" t="str">
        <f>HYPERLINK("http://www.bing.com/maps/?lvl=14&amp;sty=h&amp;cp=36.2993~43.2624&amp;sp=point.36.2993_43.2624","Maplink3")</f>
        <v>Maplink3</v>
      </c>
    </row>
    <row r="1038" spans="1:51" x14ac:dyDescent="0.2">
      <c r="A1038" s="102">
        <v>17131</v>
      </c>
      <c r="B1038" s="103" t="s">
        <v>35</v>
      </c>
      <c r="C1038" s="103" t="s">
        <v>99</v>
      </c>
      <c r="D1038" s="103" t="s">
        <v>2058</v>
      </c>
      <c r="E1038" s="103" t="s">
        <v>2059</v>
      </c>
      <c r="F1038" s="103">
        <v>36.353861999999999</v>
      </c>
      <c r="G1038" s="103">
        <v>43.383195639299998</v>
      </c>
      <c r="H1038" s="102">
        <v>4100</v>
      </c>
      <c r="I1038" s="102">
        <v>24600</v>
      </c>
      <c r="J1038" s="103"/>
      <c r="K1038" s="103"/>
      <c r="L1038" s="103"/>
      <c r="M1038" s="103">
        <v>4100</v>
      </c>
      <c r="N1038" s="103"/>
      <c r="O1038" s="103"/>
      <c r="P1038" s="103"/>
      <c r="Q1038" s="103"/>
      <c r="R1038" s="103"/>
      <c r="S1038" s="103"/>
      <c r="T1038" s="103"/>
      <c r="U1038" s="103"/>
      <c r="V1038" s="103">
        <v>138</v>
      </c>
      <c r="W1038" s="103">
        <v>200</v>
      </c>
      <c r="X1038" s="103">
        <v>9</v>
      </c>
      <c r="Y1038" s="103">
        <v>210</v>
      </c>
      <c r="Z1038" s="103">
        <v>3</v>
      </c>
      <c r="AA1038" s="103">
        <v>2057</v>
      </c>
      <c r="AB1038" s="103">
        <v>200</v>
      </c>
      <c r="AC1038" s="103">
        <v>24</v>
      </c>
      <c r="AD1038" s="103">
        <v>23</v>
      </c>
      <c r="AE1038" s="103">
        <v>36</v>
      </c>
      <c r="AF1038" s="103">
        <v>285</v>
      </c>
      <c r="AG1038" s="103">
        <v>350</v>
      </c>
      <c r="AH1038" s="103">
        <v>100</v>
      </c>
      <c r="AI1038" s="103"/>
      <c r="AJ1038" s="103">
        <v>92</v>
      </c>
      <c r="AK1038" s="103">
        <v>40</v>
      </c>
      <c r="AL1038" s="103">
        <v>333</v>
      </c>
      <c r="AM1038" s="103"/>
      <c r="AN1038" s="103"/>
      <c r="AO1038" s="103">
        <v>4100</v>
      </c>
      <c r="AP1038" s="103"/>
      <c r="AQ1038" s="103"/>
      <c r="AR1038" s="103"/>
      <c r="AS1038" s="103"/>
      <c r="AT1038" s="103"/>
      <c r="AU1038" s="103"/>
      <c r="AV1038" s="103"/>
      <c r="AW1038" s="104" t="str">
        <f>HYPERLINK("http://www.openstreetmap.org/?mlat=36.3539&amp;mlon=43.3832&amp;zoom=12#map=12/36.3539/43.3832","Maplink1")</f>
        <v>Maplink1</v>
      </c>
      <c r="AX1038" s="104" t="str">
        <f>HYPERLINK("https://www.google.iq/maps/search/+36.3539,43.3832/@36.3539,43.3832,14z?hl=en","Maplink2")</f>
        <v>Maplink2</v>
      </c>
      <c r="AY1038" s="104" t="str">
        <f>HYPERLINK("http://www.bing.com/maps/?lvl=14&amp;sty=h&amp;cp=36.3539~43.3832&amp;sp=point.36.3539_43.3832","Maplink3")</f>
        <v>Maplink3</v>
      </c>
    </row>
    <row r="1039" spans="1:51" x14ac:dyDescent="0.2">
      <c r="A1039" s="102">
        <v>22125</v>
      </c>
      <c r="B1039" s="103" t="s">
        <v>35</v>
      </c>
      <c r="C1039" s="103" t="s">
        <v>99</v>
      </c>
      <c r="D1039" s="103" t="s">
        <v>2100</v>
      </c>
      <c r="E1039" s="103" t="s">
        <v>2101</v>
      </c>
      <c r="F1039" s="103">
        <v>36.190206000000003</v>
      </c>
      <c r="G1039" s="103">
        <v>43.474024122700001</v>
      </c>
      <c r="H1039" s="102">
        <v>216</v>
      </c>
      <c r="I1039" s="102">
        <v>1296</v>
      </c>
      <c r="J1039" s="103"/>
      <c r="K1039" s="103"/>
      <c r="L1039" s="103"/>
      <c r="M1039" s="103">
        <v>186</v>
      </c>
      <c r="N1039" s="103">
        <v>30</v>
      </c>
      <c r="O1039" s="103"/>
      <c r="P1039" s="103"/>
      <c r="Q1039" s="103"/>
      <c r="R1039" s="103"/>
      <c r="S1039" s="103"/>
      <c r="T1039" s="103"/>
      <c r="U1039" s="103"/>
      <c r="V1039" s="103">
        <v>34</v>
      </c>
      <c r="W1039" s="103">
        <v>17</v>
      </c>
      <c r="X1039" s="103"/>
      <c r="Y1039" s="103"/>
      <c r="Z1039" s="103"/>
      <c r="AA1039" s="103">
        <v>124</v>
      </c>
      <c r="AB1039" s="103"/>
      <c r="AC1039" s="103"/>
      <c r="AD1039" s="103"/>
      <c r="AE1039" s="103"/>
      <c r="AF1039" s="103">
        <v>10</v>
      </c>
      <c r="AG1039" s="103">
        <v>3</v>
      </c>
      <c r="AH1039" s="103"/>
      <c r="AI1039" s="103"/>
      <c r="AJ1039" s="103"/>
      <c r="AK1039" s="103"/>
      <c r="AL1039" s="103">
        <v>28</v>
      </c>
      <c r="AM1039" s="103"/>
      <c r="AN1039" s="103"/>
      <c r="AO1039" s="103">
        <v>216</v>
      </c>
      <c r="AP1039" s="103"/>
      <c r="AQ1039" s="103"/>
      <c r="AR1039" s="103"/>
      <c r="AS1039" s="103"/>
      <c r="AT1039" s="103"/>
      <c r="AU1039" s="103"/>
      <c r="AV1039" s="103"/>
      <c r="AW1039" s="104" t="str">
        <f>HYPERLINK("http://www.openstreetmap.org/?mlat=36.1902&amp;mlon=43.474&amp;zoom=12#map=12/36.1902/43.474","Maplink1")</f>
        <v>Maplink1</v>
      </c>
      <c r="AX1039" s="104" t="str">
        <f>HYPERLINK("https://www.google.iq/maps/search/+36.1902,43.474/@36.1902,43.474,14z?hl=en","Maplink2")</f>
        <v>Maplink2</v>
      </c>
      <c r="AY1039" s="104" t="str">
        <f>HYPERLINK("http://www.bing.com/maps/?lvl=14&amp;sty=h&amp;cp=36.1902~43.474&amp;sp=point.36.1902_43.474","Maplink3")</f>
        <v>Maplink3</v>
      </c>
    </row>
    <row r="1040" spans="1:51" x14ac:dyDescent="0.2">
      <c r="A1040" s="102">
        <v>18422</v>
      </c>
      <c r="B1040" s="103" t="s">
        <v>35</v>
      </c>
      <c r="C1040" s="103" t="s">
        <v>99</v>
      </c>
      <c r="D1040" s="103" t="s">
        <v>2032</v>
      </c>
      <c r="E1040" s="103" t="s">
        <v>2033</v>
      </c>
      <c r="F1040" s="103">
        <v>36.313065999999999</v>
      </c>
      <c r="G1040" s="103">
        <v>43.235887841500002</v>
      </c>
      <c r="H1040" s="102">
        <v>39</v>
      </c>
      <c r="I1040" s="102">
        <v>234</v>
      </c>
      <c r="J1040" s="103"/>
      <c r="K1040" s="103"/>
      <c r="L1040" s="103"/>
      <c r="M1040" s="103">
        <v>39</v>
      </c>
      <c r="N1040" s="103"/>
      <c r="O1040" s="103"/>
      <c r="P1040" s="103"/>
      <c r="Q1040" s="103"/>
      <c r="R1040" s="103"/>
      <c r="S1040" s="103"/>
      <c r="T1040" s="103"/>
      <c r="U1040" s="103"/>
      <c r="V1040" s="103"/>
      <c r="W1040" s="103"/>
      <c r="X1040" s="103"/>
      <c r="Y1040" s="103"/>
      <c r="Z1040" s="103"/>
      <c r="AA1040" s="103">
        <v>7</v>
      </c>
      <c r="AB1040" s="103">
        <v>4</v>
      </c>
      <c r="AC1040" s="103"/>
      <c r="AD1040" s="103"/>
      <c r="AE1040" s="103">
        <v>16</v>
      </c>
      <c r="AF1040" s="103"/>
      <c r="AG1040" s="103">
        <v>8</v>
      </c>
      <c r="AH1040" s="103"/>
      <c r="AI1040" s="103"/>
      <c r="AJ1040" s="103"/>
      <c r="AK1040" s="103"/>
      <c r="AL1040" s="103">
        <v>4</v>
      </c>
      <c r="AM1040" s="103"/>
      <c r="AN1040" s="103"/>
      <c r="AO1040" s="103">
        <v>31</v>
      </c>
      <c r="AP1040" s="103"/>
      <c r="AQ1040" s="103"/>
      <c r="AR1040" s="103"/>
      <c r="AS1040" s="103">
        <v>8</v>
      </c>
      <c r="AT1040" s="103"/>
      <c r="AU1040" s="103"/>
      <c r="AV1040" s="103"/>
      <c r="AW1040" s="104" t="str">
        <f>HYPERLINK("http://www.openstreetmap.org/?mlat=36.3131&amp;mlon=43.2359&amp;zoom=12#map=12/36.3131/43.2359","Maplink1")</f>
        <v>Maplink1</v>
      </c>
      <c r="AX1040" s="104" t="str">
        <f>HYPERLINK("https://www.google.iq/maps/search/+36.3131,43.2359/@36.3131,43.2359,14z?hl=en","Maplink2")</f>
        <v>Maplink2</v>
      </c>
      <c r="AY1040" s="104" t="str">
        <f>HYPERLINK("http://www.bing.com/maps/?lvl=14&amp;sty=h&amp;cp=36.3131~43.2359&amp;sp=point.36.3131_43.2359","Maplink3")</f>
        <v>Maplink3</v>
      </c>
    </row>
    <row r="1041" spans="1:51" x14ac:dyDescent="0.2">
      <c r="A1041" s="102">
        <v>22214</v>
      </c>
      <c r="B1041" s="103" t="s">
        <v>35</v>
      </c>
      <c r="C1041" s="103" t="s">
        <v>99</v>
      </c>
      <c r="D1041" s="103" t="s">
        <v>2024</v>
      </c>
      <c r="E1041" s="103" t="s">
        <v>2025</v>
      </c>
      <c r="F1041" s="103">
        <v>36.357627000000001</v>
      </c>
      <c r="G1041" s="103">
        <v>43.328865371200003</v>
      </c>
      <c r="H1041" s="102">
        <v>865</v>
      </c>
      <c r="I1041" s="102">
        <v>5190</v>
      </c>
      <c r="J1041" s="103"/>
      <c r="K1041" s="103"/>
      <c r="L1041" s="103"/>
      <c r="M1041" s="103">
        <v>865</v>
      </c>
      <c r="N1041" s="103"/>
      <c r="O1041" s="103"/>
      <c r="P1041" s="103"/>
      <c r="Q1041" s="103"/>
      <c r="R1041" s="103"/>
      <c r="S1041" s="103"/>
      <c r="T1041" s="103"/>
      <c r="U1041" s="103"/>
      <c r="V1041" s="103">
        <v>7</v>
      </c>
      <c r="W1041" s="103">
        <v>113</v>
      </c>
      <c r="X1041" s="103"/>
      <c r="Y1041" s="103">
        <v>7</v>
      </c>
      <c r="Z1041" s="103">
        <v>2</v>
      </c>
      <c r="AA1041" s="103">
        <v>510</v>
      </c>
      <c r="AB1041" s="103">
        <v>54</v>
      </c>
      <c r="AC1041" s="103"/>
      <c r="AD1041" s="103">
        <v>16</v>
      </c>
      <c r="AE1041" s="103"/>
      <c r="AF1041" s="103">
        <v>38</v>
      </c>
      <c r="AG1041" s="103">
        <v>38</v>
      </c>
      <c r="AH1041" s="103">
        <v>7</v>
      </c>
      <c r="AI1041" s="103"/>
      <c r="AJ1041" s="103">
        <v>13</v>
      </c>
      <c r="AK1041" s="103">
        <v>2</v>
      </c>
      <c r="AL1041" s="103">
        <v>58</v>
      </c>
      <c r="AM1041" s="103"/>
      <c r="AN1041" s="103"/>
      <c r="AO1041" s="103">
        <v>849</v>
      </c>
      <c r="AP1041" s="103">
        <v>16</v>
      </c>
      <c r="AQ1041" s="103"/>
      <c r="AR1041" s="103"/>
      <c r="AS1041" s="103"/>
      <c r="AT1041" s="103"/>
      <c r="AU1041" s="103"/>
      <c r="AV1041" s="103"/>
      <c r="AW1041" s="104" t="str">
        <f>HYPERLINK("http://www.openstreetmap.org/?mlat=36.3576&amp;mlon=43.3289&amp;zoom=12#map=12/36.3576/43.3289","Maplink1")</f>
        <v>Maplink1</v>
      </c>
      <c r="AX1041" s="104" t="str">
        <f>HYPERLINK("https://www.google.iq/maps/search/+36.3576,43.3289/@36.3576,43.3289,14z?hl=en","Maplink2")</f>
        <v>Maplink2</v>
      </c>
      <c r="AY1041" s="104" t="str">
        <f>HYPERLINK("http://www.bing.com/maps/?lvl=14&amp;sty=h&amp;cp=36.3576~43.3289&amp;sp=point.36.3576_43.3289","Maplink3")</f>
        <v>Maplink3</v>
      </c>
    </row>
    <row r="1042" spans="1:51" x14ac:dyDescent="0.2">
      <c r="A1042" s="102">
        <v>23410</v>
      </c>
      <c r="B1042" s="103" t="s">
        <v>35</v>
      </c>
      <c r="C1042" s="103" t="s">
        <v>99</v>
      </c>
      <c r="D1042" s="103" t="s">
        <v>2026</v>
      </c>
      <c r="E1042" s="103" t="s">
        <v>2027</v>
      </c>
      <c r="F1042" s="103">
        <v>36.0517566145</v>
      </c>
      <c r="G1042" s="103">
        <v>43.331887051000002</v>
      </c>
      <c r="H1042" s="102">
        <v>200</v>
      </c>
      <c r="I1042" s="102">
        <v>1200</v>
      </c>
      <c r="J1042" s="103"/>
      <c r="K1042" s="103"/>
      <c r="L1042" s="103"/>
      <c r="M1042" s="103">
        <v>200</v>
      </c>
      <c r="N1042" s="103"/>
      <c r="O1042" s="103"/>
      <c r="P1042" s="103"/>
      <c r="Q1042" s="103"/>
      <c r="R1042" s="103"/>
      <c r="S1042" s="103"/>
      <c r="T1042" s="103"/>
      <c r="U1042" s="103"/>
      <c r="V1042" s="103"/>
      <c r="W1042" s="103"/>
      <c r="X1042" s="103"/>
      <c r="Y1042" s="103"/>
      <c r="Z1042" s="103"/>
      <c r="AA1042" s="103"/>
      <c r="AB1042" s="103"/>
      <c r="AC1042" s="103"/>
      <c r="AD1042" s="103"/>
      <c r="AE1042" s="103"/>
      <c r="AF1042" s="103"/>
      <c r="AG1042" s="103">
        <v>200</v>
      </c>
      <c r="AH1042" s="103"/>
      <c r="AI1042" s="103"/>
      <c r="AJ1042" s="103"/>
      <c r="AK1042" s="103"/>
      <c r="AL1042" s="103"/>
      <c r="AM1042" s="103"/>
      <c r="AN1042" s="103"/>
      <c r="AO1042" s="103"/>
      <c r="AP1042" s="103"/>
      <c r="AQ1042" s="103"/>
      <c r="AR1042" s="103"/>
      <c r="AS1042" s="103">
        <v>200</v>
      </c>
      <c r="AT1042" s="103"/>
      <c r="AU1042" s="103"/>
      <c r="AV1042" s="103"/>
      <c r="AW1042" s="104" t="str">
        <f>HYPERLINK("http://www.openstreetmap.org/?mlat=36.0518&amp;mlon=43.3319&amp;zoom=12#map=12/36.0518/43.3319","Maplink1")</f>
        <v>Maplink1</v>
      </c>
      <c r="AX1042" s="104" t="str">
        <f>HYPERLINK("https://www.google.iq/maps/search/+36.0518,43.3319/@36.0518,43.3319,14z?hl=en","Maplink2")</f>
        <v>Maplink2</v>
      </c>
      <c r="AY1042" s="104" t="str">
        <f>HYPERLINK("http://www.bing.com/maps/?lvl=14&amp;sty=h&amp;cp=36.0518~43.3319&amp;sp=point.36.0518_43.3319","Maplink3")</f>
        <v>Maplink3</v>
      </c>
    </row>
    <row r="1043" spans="1:51" x14ac:dyDescent="0.2">
      <c r="A1043" s="102">
        <v>17903</v>
      </c>
      <c r="B1043" s="103" t="s">
        <v>35</v>
      </c>
      <c r="C1043" s="103" t="s">
        <v>99</v>
      </c>
      <c r="D1043" s="103" t="s">
        <v>2028</v>
      </c>
      <c r="E1043" s="103" t="s">
        <v>2029</v>
      </c>
      <c r="F1043" s="103">
        <v>36.1446720243</v>
      </c>
      <c r="G1043" s="103">
        <v>43.310966591400003</v>
      </c>
      <c r="H1043" s="102">
        <v>135</v>
      </c>
      <c r="I1043" s="102">
        <v>810</v>
      </c>
      <c r="J1043" s="103"/>
      <c r="K1043" s="103"/>
      <c r="L1043" s="103"/>
      <c r="M1043" s="103">
        <v>135</v>
      </c>
      <c r="N1043" s="103"/>
      <c r="O1043" s="103"/>
      <c r="P1043" s="103"/>
      <c r="Q1043" s="103"/>
      <c r="R1043" s="103"/>
      <c r="S1043" s="103"/>
      <c r="T1043" s="103"/>
      <c r="U1043" s="103"/>
      <c r="V1043" s="103"/>
      <c r="W1043" s="103">
        <v>10</v>
      </c>
      <c r="X1043" s="103"/>
      <c r="Y1043" s="103"/>
      <c r="Z1043" s="103"/>
      <c r="AA1043" s="103">
        <v>19</v>
      </c>
      <c r="AB1043" s="103">
        <v>28</v>
      </c>
      <c r="AC1043" s="103"/>
      <c r="AD1043" s="103">
        <v>2</v>
      </c>
      <c r="AE1043" s="103">
        <v>6</v>
      </c>
      <c r="AF1043" s="103">
        <v>33</v>
      </c>
      <c r="AG1043" s="103">
        <v>2</v>
      </c>
      <c r="AH1043" s="103">
        <v>10</v>
      </c>
      <c r="AI1043" s="103"/>
      <c r="AJ1043" s="103"/>
      <c r="AK1043" s="103">
        <v>7</v>
      </c>
      <c r="AL1043" s="103">
        <v>18</v>
      </c>
      <c r="AM1043" s="103"/>
      <c r="AN1043" s="103"/>
      <c r="AO1043" s="103">
        <v>135</v>
      </c>
      <c r="AP1043" s="103"/>
      <c r="AQ1043" s="103"/>
      <c r="AR1043" s="103"/>
      <c r="AS1043" s="103"/>
      <c r="AT1043" s="103"/>
      <c r="AU1043" s="103"/>
      <c r="AV1043" s="103"/>
      <c r="AW1043" s="104" t="str">
        <f>HYPERLINK("http://www.openstreetmap.org/?mlat=36.1447&amp;mlon=43.311&amp;zoom=12#map=12/36.1447/43.311","Maplink1")</f>
        <v>Maplink1</v>
      </c>
      <c r="AX1043" s="104" t="str">
        <f>HYPERLINK("https://www.google.iq/maps/search/+36.1447,43.311/@36.1447,43.311,14z?hl=en","Maplink2")</f>
        <v>Maplink2</v>
      </c>
      <c r="AY1043" s="104" t="str">
        <f>HYPERLINK("http://www.bing.com/maps/?lvl=14&amp;sty=h&amp;cp=36.1447~43.311&amp;sp=point.36.1447_43.311","Maplink3")</f>
        <v>Maplink3</v>
      </c>
    </row>
    <row r="1044" spans="1:51" x14ac:dyDescent="0.2">
      <c r="A1044" s="102">
        <v>29643</v>
      </c>
      <c r="B1044" s="103" t="s">
        <v>35</v>
      </c>
      <c r="C1044" s="103" t="s">
        <v>99</v>
      </c>
      <c r="D1044" s="103" t="s">
        <v>2046</v>
      </c>
      <c r="E1044" s="103" t="s">
        <v>2047</v>
      </c>
      <c r="F1044" s="103">
        <v>36.035616149900001</v>
      </c>
      <c r="G1044" s="103">
        <v>43.434817668599997</v>
      </c>
      <c r="H1044" s="102">
        <v>188</v>
      </c>
      <c r="I1044" s="102">
        <v>1128</v>
      </c>
      <c r="J1044" s="103"/>
      <c r="K1044" s="103"/>
      <c r="L1044" s="103"/>
      <c r="M1044" s="103">
        <v>188</v>
      </c>
      <c r="N1044" s="103"/>
      <c r="O1044" s="103"/>
      <c r="P1044" s="103"/>
      <c r="Q1044" s="103"/>
      <c r="R1044" s="103"/>
      <c r="S1044" s="103"/>
      <c r="T1044" s="103"/>
      <c r="U1044" s="103"/>
      <c r="V1044" s="103"/>
      <c r="W1044" s="103"/>
      <c r="X1044" s="103"/>
      <c r="Y1044" s="103"/>
      <c r="Z1044" s="103"/>
      <c r="AA1044" s="103"/>
      <c r="AB1044" s="103"/>
      <c r="AC1044" s="103"/>
      <c r="AD1044" s="103"/>
      <c r="AE1044" s="103"/>
      <c r="AF1044" s="103"/>
      <c r="AG1044" s="103">
        <v>188</v>
      </c>
      <c r="AH1044" s="103"/>
      <c r="AI1044" s="103"/>
      <c r="AJ1044" s="103"/>
      <c r="AK1044" s="103"/>
      <c r="AL1044" s="103"/>
      <c r="AM1044" s="103"/>
      <c r="AN1044" s="103"/>
      <c r="AO1044" s="103"/>
      <c r="AP1044" s="103"/>
      <c r="AQ1044" s="103"/>
      <c r="AR1044" s="103"/>
      <c r="AS1044" s="103">
        <v>188</v>
      </c>
      <c r="AT1044" s="103"/>
      <c r="AU1044" s="103"/>
      <c r="AV1044" s="103"/>
      <c r="AW1044" s="104" t="str">
        <f>HYPERLINK("http://www.openstreetmap.org/?mlat=36.0356&amp;mlon=43.4348&amp;zoom=12#map=12/36.0356/43.4348","Maplink1")</f>
        <v>Maplink1</v>
      </c>
      <c r="AX1044" s="104" t="str">
        <f>HYPERLINK("https://www.google.iq/maps/search/+36.0356,43.4348/@36.0356,43.4348,14z?hl=en","Maplink2")</f>
        <v>Maplink2</v>
      </c>
      <c r="AY1044" s="104" t="str">
        <f>HYPERLINK("http://www.bing.com/maps/?lvl=14&amp;sty=h&amp;cp=36.0356~43.4348&amp;sp=point.36.0356_43.4348","Maplink3")</f>
        <v>Maplink3</v>
      </c>
    </row>
    <row r="1045" spans="1:51" x14ac:dyDescent="0.2">
      <c r="A1045" s="102">
        <v>29613</v>
      </c>
      <c r="B1045" s="103" t="s">
        <v>35</v>
      </c>
      <c r="C1045" s="103" t="s">
        <v>99</v>
      </c>
      <c r="D1045" s="103" t="s">
        <v>2116</v>
      </c>
      <c r="E1045" s="103" t="s">
        <v>2117</v>
      </c>
      <c r="F1045" s="103">
        <v>36.208440000000003</v>
      </c>
      <c r="G1045" s="103">
        <v>43.534881446500002</v>
      </c>
      <c r="H1045" s="102">
        <v>565</v>
      </c>
      <c r="I1045" s="102">
        <v>3390</v>
      </c>
      <c r="J1045" s="103"/>
      <c r="K1045" s="103"/>
      <c r="L1045" s="103"/>
      <c r="M1045" s="103">
        <v>565</v>
      </c>
      <c r="N1045" s="103"/>
      <c r="O1045" s="103"/>
      <c r="P1045" s="103"/>
      <c r="Q1045" s="103"/>
      <c r="R1045" s="103"/>
      <c r="S1045" s="103"/>
      <c r="T1045" s="103"/>
      <c r="U1045" s="103"/>
      <c r="V1045" s="103"/>
      <c r="W1045" s="103"/>
      <c r="X1045" s="103"/>
      <c r="Y1045" s="103">
        <v>50</v>
      </c>
      <c r="Z1045" s="103"/>
      <c r="AA1045" s="103">
        <v>510</v>
      </c>
      <c r="AB1045" s="103"/>
      <c r="AC1045" s="103">
        <v>5</v>
      </c>
      <c r="AD1045" s="103"/>
      <c r="AE1045" s="103"/>
      <c r="AF1045" s="103"/>
      <c r="AG1045" s="103"/>
      <c r="AH1045" s="103"/>
      <c r="AI1045" s="103"/>
      <c r="AJ1045" s="103"/>
      <c r="AK1045" s="103"/>
      <c r="AL1045" s="103"/>
      <c r="AM1045" s="103"/>
      <c r="AN1045" s="103"/>
      <c r="AO1045" s="103">
        <v>565</v>
      </c>
      <c r="AP1045" s="103"/>
      <c r="AQ1045" s="103"/>
      <c r="AR1045" s="103"/>
      <c r="AS1045" s="103"/>
      <c r="AT1045" s="103"/>
      <c r="AU1045" s="103"/>
      <c r="AV1045" s="103"/>
      <c r="AW1045" s="104" t="str">
        <f>HYPERLINK("http://www.openstreetmap.org/?mlat=36.2084&amp;mlon=43.5349&amp;zoom=12#map=12/36.2084/43.5349","Maplink1")</f>
        <v>Maplink1</v>
      </c>
      <c r="AX1045" s="104" t="str">
        <f>HYPERLINK("https://www.google.iq/maps/search/+36.2084,43.5349/@36.2084,43.5349,14z?hl=en","Maplink2")</f>
        <v>Maplink2</v>
      </c>
      <c r="AY1045" s="104" t="str">
        <f>HYPERLINK("http://www.bing.com/maps/?lvl=14&amp;sty=h&amp;cp=36.2084~43.5349&amp;sp=point.36.2084_43.5349","Maplink3")</f>
        <v>Maplink3</v>
      </c>
    </row>
    <row r="1046" spans="1:51" x14ac:dyDescent="0.2">
      <c r="A1046" s="102">
        <v>17991</v>
      </c>
      <c r="B1046" s="103" t="s">
        <v>35</v>
      </c>
      <c r="C1046" s="103" t="s">
        <v>99</v>
      </c>
      <c r="D1046" s="103" t="s">
        <v>2042</v>
      </c>
      <c r="E1046" s="103" t="s">
        <v>2043</v>
      </c>
      <c r="F1046" s="103">
        <v>36.287300000000002</v>
      </c>
      <c r="G1046" s="103">
        <v>43.297602826999999</v>
      </c>
      <c r="H1046" s="102">
        <v>1100</v>
      </c>
      <c r="I1046" s="102">
        <v>6600</v>
      </c>
      <c r="J1046" s="103"/>
      <c r="K1046" s="103"/>
      <c r="L1046" s="103"/>
      <c r="M1046" s="103">
        <v>1100</v>
      </c>
      <c r="N1046" s="103"/>
      <c r="O1046" s="103"/>
      <c r="P1046" s="103"/>
      <c r="Q1046" s="103"/>
      <c r="R1046" s="103"/>
      <c r="S1046" s="103"/>
      <c r="T1046" s="103"/>
      <c r="U1046" s="103"/>
      <c r="V1046" s="103">
        <v>36</v>
      </c>
      <c r="W1046" s="103">
        <v>41</v>
      </c>
      <c r="X1046" s="103"/>
      <c r="Y1046" s="103">
        <v>41</v>
      </c>
      <c r="Z1046" s="103"/>
      <c r="AA1046" s="103">
        <v>344</v>
      </c>
      <c r="AB1046" s="103">
        <v>107</v>
      </c>
      <c r="AC1046" s="103"/>
      <c r="AD1046" s="103"/>
      <c r="AE1046" s="103"/>
      <c r="AF1046" s="103">
        <v>80</v>
      </c>
      <c r="AG1046" s="103">
        <v>108</v>
      </c>
      <c r="AH1046" s="103">
        <v>108</v>
      </c>
      <c r="AI1046" s="103"/>
      <c r="AJ1046" s="103"/>
      <c r="AK1046" s="103">
        <v>40</v>
      </c>
      <c r="AL1046" s="103">
        <v>195</v>
      </c>
      <c r="AM1046" s="103"/>
      <c r="AN1046" s="103"/>
      <c r="AO1046" s="103">
        <v>1100</v>
      </c>
      <c r="AP1046" s="103"/>
      <c r="AQ1046" s="103"/>
      <c r="AR1046" s="103"/>
      <c r="AS1046" s="103"/>
      <c r="AT1046" s="103"/>
      <c r="AU1046" s="103"/>
      <c r="AV1046" s="103"/>
      <c r="AW1046" s="104" t="str">
        <f>HYPERLINK("http://www.openstreetmap.org/?mlat=36.2873&amp;mlon=43.2976&amp;zoom=12#map=12/36.2873/43.2976","Maplink1")</f>
        <v>Maplink1</v>
      </c>
      <c r="AX1046" s="104" t="str">
        <f>HYPERLINK("https://www.google.iq/maps/search/+36.2873,43.2976/@36.2873,43.2976,14z?hl=en","Maplink2")</f>
        <v>Maplink2</v>
      </c>
      <c r="AY1046" s="104" t="str">
        <f>HYPERLINK("http://www.bing.com/maps/?lvl=14&amp;sty=h&amp;cp=36.2873~43.2976&amp;sp=point.36.2873_43.2976","Maplink3")</f>
        <v>Maplink3</v>
      </c>
    </row>
    <row r="1047" spans="1:51" x14ac:dyDescent="0.2">
      <c r="A1047" s="102">
        <v>17385</v>
      </c>
      <c r="B1047" s="103" t="s">
        <v>35</v>
      </c>
      <c r="C1047" s="103" t="s">
        <v>99</v>
      </c>
      <c r="D1047" s="103" t="s">
        <v>2044</v>
      </c>
      <c r="E1047" s="103" t="s">
        <v>2045</v>
      </c>
      <c r="F1047" s="103">
        <v>36.365338000000001</v>
      </c>
      <c r="G1047" s="103">
        <v>43.430201821600001</v>
      </c>
      <c r="H1047" s="102">
        <v>470</v>
      </c>
      <c r="I1047" s="102">
        <v>2820</v>
      </c>
      <c r="J1047" s="103"/>
      <c r="K1047" s="103"/>
      <c r="L1047" s="103"/>
      <c r="M1047" s="103">
        <v>455</v>
      </c>
      <c r="N1047" s="103">
        <v>15</v>
      </c>
      <c r="O1047" s="103"/>
      <c r="P1047" s="103"/>
      <c r="Q1047" s="103"/>
      <c r="R1047" s="103"/>
      <c r="S1047" s="103"/>
      <c r="T1047" s="103"/>
      <c r="U1047" s="103"/>
      <c r="V1047" s="103"/>
      <c r="W1047" s="103"/>
      <c r="X1047" s="103"/>
      <c r="Y1047" s="103">
        <v>5</v>
      </c>
      <c r="Z1047" s="103"/>
      <c r="AA1047" s="103">
        <v>397</v>
      </c>
      <c r="AB1047" s="103"/>
      <c r="AC1047" s="103"/>
      <c r="AD1047" s="103"/>
      <c r="AE1047" s="103"/>
      <c r="AF1047" s="103"/>
      <c r="AG1047" s="103">
        <v>68</v>
      </c>
      <c r="AH1047" s="103"/>
      <c r="AI1047" s="103"/>
      <c r="AJ1047" s="103"/>
      <c r="AK1047" s="103"/>
      <c r="AL1047" s="103"/>
      <c r="AM1047" s="103"/>
      <c r="AN1047" s="103"/>
      <c r="AO1047" s="103">
        <v>455</v>
      </c>
      <c r="AP1047" s="103"/>
      <c r="AQ1047" s="103"/>
      <c r="AR1047" s="103"/>
      <c r="AS1047" s="103">
        <v>15</v>
      </c>
      <c r="AT1047" s="103"/>
      <c r="AU1047" s="103"/>
      <c r="AV1047" s="103"/>
      <c r="AW1047" s="104" t="str">
        <f>HYPERLINK("http://www.openstreetmap.org/?mlat=36.3653&amp;mlon=43.4302&amp;zoom=12#map=12/36.3653/43.4302","Maplink1")</f>
        <v>Maplink1</v>
      </c>
      <c r="AX1047" s="104" t="str">
        <f>HYPERLINK("https://www.google.iq/maps/search/+36.3653,43.4302/@36.3653,43.4302,14z?hl=en","Maplink2")</f>
        <v>Maplink2</v>
      </c>
      <c r="AY1047" s="104" t="str">
        <f>HYPERLINK("http://www.bing.com/maps/?lvl=14&amp;sty=h&amp;cp=36.3653~43.4302&amp;sp=point.36.3653_43.4302","Maplink3")</f>
        <v>Maplink3</v>
      </c>
    </row>
    <row r="1048" spans="1:51" x14ac:dyDescent="0.2">
      <c r="A1048" s="102">
        <v>33113</v>
      </c>
      <c r="B1048" s="103" t="s">
        <v>35</v>
      </c>
      <c r="C1048" s="103" t="s">
        <v>99</v>
      </c>
      <c r="D1048" s="103" t="s">
        <v>2050</v>
      </c>
      <c r="E1048" s="103" t="s">
        <v>2051</v>
      </c>
      <c r="F1048" s="103">
        <v>36.195034</v>
      </c>
      <c r="G1048" s="103">
        <v>43.399355462700001</v>
      </c>
      <c r="H1048" s="102">
        <v>245</v>
      </c>
      <c r="I1048" s="102">
        <v>1470</v>
      </c>
      <c r="J1048" s="103"/>
      <c r="K1048" s="103"/>
      <c r="L1048" s="103"/>
      <c r="M1048" s="103">
        <v>245</v>
      </c>
      <c r="N1048" s="103"/>
      <c r="O1048" s="103"/>
      <c r="P1048" s="103"/>
      <c r="Q1048" s="103"/>
      <c r="R1048" s="103"/>
      <c r="S1048" s="103"/>
      <c r="T1048" s="103"/>
      <c r="U1048" s="103"/>
      <c r="V1048" s="103"/>
      <c r="W1048" s="103">
        <v>14</v>
      </c>
      <c r="X1048" s="103"/>
      <c r="Y1048" s="103"/>
      <c r="Z1048" s="103"/>
      <c r="AA1048" s="103">
        <v>104</v>
      </c>
      <c r="AB1048" s="103">
        <v>8</v>
      </c>
      <c r="AC1048" s="103"/>
      <c r="AD1048" s="103">
        <v>1</v>
      </c>
      <c r="AE1048" s="103">
        <v>25</v>
      </c>
      <c r="AF1048" s="103">
        <v>15</v>
      </c>
      <c r="AG1048" s="103">
        <v>20</v>
      </c>
      <c r="AH1048" s="103">
        <v>30</v>
      </c>
      <c r="AI1048" s="103"/>
      <c r="AJ1048" s="103"/>
      <c r="AK1048" s="103">
        <v>3</v>
      </c>
      <c r="AL1048" s="103">
        <v>25</v>
      </c>
      <c r="AM1048" s="103"/>
      <c r="AN1048" s="103"/>
      <c r="AO1048" s="103">
        <v>240</v>
      </c>
      <c r="AP1048" s="103"/>
      <c r="AQ1048" s="103"/>
      <c r="AR1048" s="103"/>
      <c r="AS1048" s="103">
        <v>5</v>
      </c>
      <c r="AT1048" s="103"/>
      <c r="AU1048" s="103"/>
      <c r="AV1048" s="103"/>
      <c r="AW1048" s="104" t="str">
        <f>HYPERLINK("http://www.openstreetmap.org/?mlat=36.195&amp;mlon=43.3994&amp;zoom=12#map=12/36.195/43.3994","Maplink1")</f>
        <v>Maplink1</v>
      </c>
      <c r="AX1048" s="104" t="str">
        <f>HYPERLINK("https://www.google.iq/maps/search/+36.195,43.3994/@36.195,43.3994,14z?hl=en","Maplink2")</f>
        <v>Maplink2</v>
      </c>
      <c r="AY1048" s="104" t="str">
        <f>HYPERLINK("http://www.bing.com/maps/?lvl=14&amp;sty=h&amp;cp=36.195~43.3994&amp;sp=point.36.195_43.3994","Maplink3")</f>
        <v>Maplink3</v>
      </c>
    </row>
    <row r="1049" spans="1:51" x14ac:dyDescent="0.2">
      <c r="A1049" s="102">
        <v>17366</v>
      </c>
      <c r="B1049" s="103" t="s">
        <v>35</v>
      </c>
      <c r="C1049" s="103" t="s">
        <v>99</v>
      </c>
      <c r="D1049" s="103" t="s">
        <v>2060</v>
      </c>
      <c r="E1049" s="103" t="s">
        <v>2061</v>
      </c>
      <c r="F1049" s="103">
        <v>36.183857000000003</v>
      </c>
      <c r="G1049" s="103">
        <v>43.5410075514</v>
      </c>
      <c r="H1049" s="102">
        <v>545</v>
      </c>
      <c r="I1049" s="102">
        <v>3270</v>
      </c>
      <c r="J1049" s="103"/>
      <c r="K1049" s="103"/>
      <c r="L1049" s="103"/>
      <c r="M1049" s="103">
        <v>545</v>
      </c>
      <c r="N1049" s="103"/>
      <c r="O1049" s="103"/>
      <c r="P1049" s="103"/>
      <c r="Q1049" s="103"/>
      <c r="R1049" s="103"/>
      <c r="S1049" s="103"/>
      <c r="T1049" s="103"/>
      <c r="U1049" s="103"/>
      <c r="V1049" s="103"/>
      <c r="W1049" s="103"/>
      <c r="X1049" s="103"/>
      <c r="Y1049" s="103">
        <v>153</v>
      </c>
      <c r="Z1049" s="103"/>
      <c r="AA1049" s="103">
        <v>392</v>
      </c>
      <c r="AB1049" s="103"/>
      <c r="AC1049" s="103"/>
      <c r="AD1049" s="103"/>
      <c r="AE1049" s="103"/>
      <c r="AF1049" s="103"/>
      <c r="AG1049" s="103"/>
      <c r="AH1049" s="103"/>
      <c r="AI1049" s="103"/>
      <c r="AJ1049" s="103"/>
      <c r="AK1049" s="103"/>
      <c r="AL1049" s="103"/>
      <c r="AM1049" s="103"/>
      <c r="AN1049" s="103"/>
      <c r="AO1049" s="103">
        <v>545</v>
      </c>
      <c r="AP1049" s="103"/>
      <c r="AQ1049" s="103"/>
      <c r="AR1049" s="103"/>
      <c r="AS1049" s="103"/>
      <c r="AT1049" s="103"/>
      <c r="AU1049" s="103"/>
      <c r="AV1049" s="103"/>
      <c r="AW1049" s="104" t="str">
        <f>HYPERLINK("http://www.openstreetmap.org/?mlat=36.1839&amp;mlon=43.541&amp;zoom=12#map=12/36.1839/43.541","Maplink1")</f>
        <v>Maplink1</v>
      </c>
      <c r="AX1049" s="104" t="str">
        <f>HYPERLINK("https://www.google.iq/maps/search/+36.1839,43.541/@36.1839,43.541,14z?hl=en","Maplink2")</f>
        <v>Maplink2</v>
      </c>
      <c r="AY1049" s="104" t="str">
        <f>HYPERLINK("http://www.bing.com/maps/?lvl=14&amp;sty=h&amp;cp=36.1839~43.541&amp;sp=point.36.1839_43.541","Maplink3")</f>
        <v>Maplink3</v>
      </c>
    </row>
    <row r="1050" spans="1:51" x14ac:dyDescent="0.2">
      <c r="A1050" s="102">
        <v>17394</v>
      </c>
      <c r="B1050" s="103" t="s">
        <v>35</v>
      </c>
      <c r="C1050" s="103" t="s">
        <v>99</v>
      </c>
      <c r="D1050" s="103" t="s">
        <v>2062</v>
      </c>
      <c r="E1050" s="103" t="s">
        <v>2063</v>
      </c>
      <c r="F1050" s="103">
        <v>36.147933999999999</v>
      </c>
      <c r="G1050" s="103">
        <v>43.523971000000003</v>
      </c>
      <c r="H1050" s="102">
        <v>35</v>
      </c>
      <c r="I1050" s="102">
        <v>210</v>
      </c>
      <c r="J1050" s="103"/>
      <c r="K1050" s="103"/>
      <c r="L1050" s="103"/>
      <c r="M1050" s="103">
        <v>20</v>
      </c>
      <c r="N1050" s="103">
        <v>15</v>
      </c>
      <c r="O1050" s="103"/>
      <c r="P1050" s="103"/>
      <c r="Q1050" s="103"/>
      <c r="R1050" s="103"/>
      <c r="S1050" s="103"/>
      <c r="T1050" s="103"/>
      <c r="U1050" s="103"/>
      <c r="V1050" s="103"/>
      <c r="W1050" s="103"/>
      <c r="X1050" s="103"/>
      <c r="Y1050" s="103"/>
      <c r="Z1050" s="103"/>
      <c r="AA1050" s="103"/>
      <c r="AB1050" s="103"/>
      <c r="AC1050" s="103"/>
      <c r="AD1050" s="103"/>
      <c r="AE1050" s="103"/>
      <c r="AF1050" s="103"/>
      <c r="AG1050" s="103">
        <v>35</v>
      </c>
      <c r="AH1050" s="103"/>
      <c r="AI1050" s="103"/>
      <c r="AJ1050" s="103"/>
      <c r="AK1050" s="103"/>
      <c r="AL1050" s="103"/>
      <c r="AM1050" s="103"/>
      <c r="AN1050" s="103"/>
      <c r="AO1050" s="103">
        <v>35</v>
      </c>
      <c r="AP1050" s="103"/>
      <c r="AQ1050" s="103"/>
      <c r="AR1050" s="103"/>
      <c r="AS1050" s="103"/>
      <c r="AT1050" s="103"/>
      <c r="AU1050" s="103"/>
      <c r="AV1050" s="103"/>
      <c r="AW1050" s="104" t="str">
        <f>HYPERLINK("http://www.openstreetmap.org/?mlat=36.1479&amp;mlon=43.524&amp;zoom=12#map=12/36.1479/43.524","Maplink1")</f>
        <v>Maplink1</v>
      </c>
      <c r="AX1050" s="104" t="str">
        <f>HYPERLINK("https://www.google.iq/maps/search/+36.1479,43.524/@36.1479,43.524,14z?hl=en","Maplink2")</f>
        <v>Maplink2</v>
      </c>
      <c r="AY1050" s="104" t="str">
        <f>HYPERLINK("http://www.bing.com/maps/?lvl=14&amp;sty=h&amp;cp=36.1479~43.524&amp;sp=point.36.1479_43.524","Maplink3")</f>
        <v>Maplink3</v>
      </c>
    </row>
    <row r="1051" spans="1:51" x14ac:dyDescent="0.2">
      <c r="A1051" s="102">
        <v>22317</v>
      </c>
      <c r="B1051" s="103" t="s">
        <v>35</v>
      </c>
      <c r="C1051" s="103" t="s">
        <v>99</v>
      </c>
      <c r="D1051" s="103" t="s">
        <v>2118</v>
      </c>
      <c r="E1051" s="103" t="s">
        <v>2119</v>
      </c>
      <c r="F1051" s="103">
        <v>36.250492999999999</v>
      </c>
      <c r="G1051" s="103">
        <v>43.294661458299998</v>
      </c>
      <c r="H1051" s="102">
        <v>158</v>
      </c>
      <c r="I1051" s="102">
        <v>948</v>
      </c>
      <c r="J1051" s="103"/>
      <c r="K1051" s="103"/>
      <c r="L1051" s="103"/>
      <c r="M1051" s="103">
        <v>158</v>
      </c>
      <c r="N1051" s="103"/>
      <c r="O1051" s="103"/>
      <c r="P1051" s="103"/>
      <c r="Q1051" s="103"/>
      <c r="R1051" s="103"/>
      <c r="S1051" s="103"/>
      <c r="T1051" s="103"/>
      <c r="U1051" s="103"/>
      <c r="V1051" s="103"/>
      <c r="W1051" s="103">
        <v>53</v>
      </c>
      <c r="X1051" s="103"/>
      <c r="Y1051" s="103"/>
      <c r="Z1051" s="103"/>
      <c r="AA1051" s="103">
        <v>30</v>
      </c>
      <c r="AB1051" s="103">
        <v>3</v>
      </c>
      <c r="AC1051" s="103"/>
      <c r="AD1051" s="103"/>
      <c r="AE1051" s="103"/>
      <c r="AF1051" s="103">
        <v>11</v>
      </c>
      <c r="AG1051" s="103">
        <v>14</v>
      </c>
      <c r="AH1051" s="103">
        <v>17</v>
      </c>
      <c r="AI1051" s="103"/>
      <c r="AJ1051" s="103"/>
      <c r="AK1051" s="103"/>
      <c r="AL1051" s="103">
        <v>30</v>
      </c>
      <c r="AM1051" s="103"/>
      <c r="AN1051" s="103"/>
      <c r="AO1051" s="103">
        <v>144</v>
      </c>
      <c r="AP1051" s="103"/>
      <c r="AQ1051" s="103"/>
      <c r="AR1051" s="103"/>
      <c r="AS1051" s="103">
        <v>14</v>
      </c>
      <c r="AT1051" s="103"/>
      <c r="AU1051" s="103"/>
      <c r="AV1051" s="103"/>
      <c r="AW1051" s="104" t="str">
        <f>HYPERLINK("http://www.openstreetmap.org/?mlat=36.2505&amp;mlon=43.2947&amp;zoom=12#map=12/36.2505/43.2947","Maplink1")</f>
        <v>Maplink1</v>
      </c>
      <c r="AX1051" s="104" t="str">
        <f>HYPERLINK("https://www.google.iq/maps/search/+36.2505,43.2947/@36.2505,43.2947,14z?hl=en","Maplink2")</f>
        <v>Maplink2</v>
      </c>
      <c r="AY1051" s="104" t="str">
        <f>HYPERLINK("http://www.bing.com/maps/?lvl=14&amp;sty=h&amp;cp=36.2505~43.2947&amp;sp=point.36.2505_43.2947","Maplink3")</f>
        <v>Maplink3</v>
      </c>
    </row>
    <row r="1052" spans="1:51" x14ac:dyDescent="0.2">
      <c r="A1052" s="102">
        <v>32098</v>
      </c>
      <c r="B1052" s="103" t="s">
        <v>35</v>
      </c>
      <c r="C1052" s="103" t="s">
        <v>99</v>
      </c>
      <c r="D1052" s="103" t="s">
        <v>2120</v>
      </c>
      <c r="E1052" s="103" t="s">
        <v>2121</v>
      </c>
      <c r="F1052" s="103">
        <v>36.320520000000002</v>
      </c>
      <c r="G1052" s="103">
        <v>43.280999814200001</v>
      </c>
      <c r="H1052" s="102">
        <v>52</v>
      </c>
      <c r="I1052" s="102">
        <v>312</v>
      </c>
      <c r="J1052" s="103"/>
      <c r="K1052" s="103"/>
      <c r="L1052" s="103"/>
      <c r="M1052" s="103">
        <v>52</v>
      </c>
      <c r="N1052" s="103"/>
      <c r="O1052" s="103"/>
      <c r="P1052" s="103"/>
      <c r="Q1052" s="103"/>
      <c r="R1052" s="103"/>
      <c r="S1052" s="103"/>
      <c r="T1052" s="103"/>
      <c r="U1052" s="103"/>
      <c r="V1052" s="103"/>
      <c r="W1052" s="103"/>
      <c r="X1052" s="103"/>
      <c r="Y1052" s="103">
        <v>2</v>
      </c>
      <c r="Z1052" s="103"/>
      <c r="AA1052" s="103">
        <v>41</v>
      </c>
      <c r="AB1052" s="103"/>
      <c r="AC1052" s="103"/>
      <c r="AD1052" s="103">
        <v>3</v>
      </c>
      <c r="AE1052" s="103"/>
      <c r="AF1052" s="103"/>
      <c r="AG1052" s="103">
        <v>3</v>
      </c>
      <c r="AH1052" s="103"/>
      <c r="AI1052" s="103"/>
      <c r="AJ1052" s="103"/>
      <c r="AK1052" s="103"/>
      <c r="AL1052" s="103">
        <v>3</v>
      </c>
      <c r="AM1052" s="103"/>
      <c r="AN1052" s="103"/>
      <c r="AO1052" s="103">
        <v>52</v>
      </c>
      <c r="AP1052" s="103"/>
      <c r="AQ1052" s="103"/>
      <c r="AR1052" s="103"/>
      <c r="AS1052" s="103"/>
      <c r="AT1052" s="103"/>
      <c r="AU1052" s="103"/>
      <c r="AV1052" s="103"/>
      <c r="AW1052" s="104" t="str">
        <f>HYPERLINK("http://www.openstreetmap.org/?mlat=36.3205&amp;mlon=43.281&amp;zoom=12#map=12/36.3205/43.281","Maplink1")</f>
        <v>Maplink1</v>
      </c>
      <c r="AX1052" s="104" t="str">
        <f>HYPERLINK("https://www.google.iq/maps/search/+36.3205,43.281/@36.3205,43.281,14z?hl=en","Maplink2")</f>
        <v>Maplink2</v>
      </c>
      <c r="AY1052" s="104" t="str">
        <f>HYPERLINK("http://www.bing.com/maps/?lvl=14&amp;sty=h&amp;cp=36.3205~43.281&amp;sp=point.36.3205_43.281","Maplink3")</f>
        <v>Maplink3</v>
      </c>
    </row>
    <row r="1053" spans="1:51" x14ac:dyDescent="0.2">
      <c r="A1053" s="102">
        <v>17386</v>
      </c>
      <c r="B1053" s="103" t="s">
        <v>35</v>
      </c>
      <c r="C1053" s="103" t="s">
        <v>99</v>
      </c>
      <c r="D1053" s="103" t="s">
        <v>2074</v>
      </c>
      <c r="E1053" s="103" t="s">
        <v>2075</v>
      </c>
      <c r="F1053" s="103">
        <v>36.227550999999998</v>
      </c>
      <c r="G1053" s="103">
        <v>43.418148734399999</v>
      </c>
      <c r="H1053" s="102">
        <v>220</v>
      </c>
      <c r="I1053" s="102">
        <v>1320</v>
      </c>
      <c r="J1053" s="103"/>
      <c r="K1053" s="103"/>
      <c r="L1053" s="103"/>
      <c r="M1053" s="103">
        <v>220</v>
      </c>
      <c r="N1053" s="103"/>
      <c r="O1053" s="103"/>
      <c r="P1053" s="103"/>
      <c r="Q1053" s="103"/>
      <c r="R1053" s="103"/>
      <c r="S1053" s="103"/>
      <c r="T1053" s="103"/>
      <c r="U1053" s="103"/>
      <c r="V1053" s="103"/>
      <c r="W1053" s="103">
        <v>11</v>
      </c>
      <c r="X1053" s="103">
        <v>2</v>
      </c>
      <c r="Y1053" s="103"/>
      <c r="Z1053" s="103"/>
      <c r="AA1053" s="103">
        <v>53</v>
      </c>
      <c r="AB1053" s="103">
        <v>23</v>
      </c>
      <c r="AC1053" s="103"/>
      <c r="AD1053" s="103">
        <v>8</v>
      </c>
      <c r="AE1053" s="103"/>
      <c r="AF1053" s="103">
        <v>20</v>
      </c>
      <c r="AG1053" s="103">
        <v>101</v>
      </c>
      <c r="AH1053" s="103"/>
      <c r="AI1053" s="103"/>
      <c r="AJ1053" s="103"/>
      <c r="AK1053" s="103"/>
      <c r="AL1053" s="103">
        <v>2</v>
      </c>
      <c r="AM1053" s="103"/>
      <c r="AN1053" s="103"/>
      <c r="AO1053" s="103">
        <v>109</v>
      </c>
      <c r="AP1053" s="103"/>
      <c r="AQ1053" s="103"/>
      <c r="AR1053" s="103"/>
      <c r="AS1053" s="103">
        <v>111</v>
      </c>
      <c r="AT1053" s="103"/>
      <c r="AU1053" s="103"/>
      <c r="AV1053" s="103"/>
      <c r="AW1053" s="104" t="str">
        <f>HYPERLINK("http://www.openstreetmap.org/?mlat=36.2276&amp;mlon=43.4181&amp;zoom=12#map=12/36.2276/43.4181","Maplink1")</f>
        <v>Maplink1</v>
      </c>
      <c r="AX1053" s="104" t="str">
        <f>HYPERLINK("https://www.google.iq/maps/search/+36.2276,43.4181/@36.2276,43.4181,14z?hl=en","Maplink2")</f>
        <v>Maplink2</v>
      </c>
      <c r="AY1053" s="104" t="str">
        <f>HYPERLINK("http://www.bing.com/maps/?lvl=14&amp;sty=h&amp;cp=36.2276~43.4181&amp;sp=point.36.2276_43.4181","Maplink3")</f>
        <v>Maplink3</v>
      </c>
    </row>
    <row r="1054" spans="1:51" x14ac:dyDescent="0.2">
      <c r="A1054" s="102">
        <v>22212</v>
      </c>
      <c r="B1054" s="103" t="s">
        <v>35</v>
      </c>
      <c r="C1054" s="103" t="s">
        <v>99</v>
      </c>
      <c r="D1054" s="103" t="s">
        <v>2030</v>
      </c>
      <c r="E1054" s="103" t="s">
        <v>2031</v>
      </c>
      <c r="F1054" s="103">
        <v>36.295375</v>
      </c>
      <c r="G1054" s="103">
        <v>43.505334490800003</v>
      </c>
      <c r="H1054" s="102">
        <v>31</v>
      </c>
      <c r="I1054" s="102">
        <v>186</v>
      </c>
      <c r="J1054" s="103"/>
      <c r="K1054" s="103"/>
      <c r="L1054" s="103"/>
      <c r="M1054" s="103">
        <v>25</v>
      </c>
      <c r="N1054" s="103">
        <v>6</v>
      </c>
      <c r="O1054" s="103"/>
      <c r="P1054" s="103"/>
      <c r="Q1054" s="103"/>
      <c r="R1054" s="103"/>
      <c r="S1054" s="103"/>
      <c r="T1054" s="103"/>
      <c r="U1054" s="103"/>
      <c r="V1054" s="103"/>
      <c r="W1054" s="103"/>
      <c r="X1054" s="103"/>
      <c r="Y1054" s="103"/>
      <c r="Z1054" s="103"/>
      <c r="AA1054" s="103">
        <v>20</v>
      </c>
      <c r="AB1054" s="103"/>
      <c r="AC1054" s="103">
        <v>5</v>
      </c>
      <c r="AD1054" s="103"/>
      <c r="AE1054" s="103"/>
      <c r="AF1054" s="103"/>
      <c r="AG1054" s="103"/>
      <c r="AH1054" s="103"/>
      <c r="AI1054" s="103"/>
      <c r="AJ1054" s="103"/>
      <c r="AK1054" s="103"/>
      <c r="AL1054" s="103">
        <v>6</v>
      </c>
      <c r="AM1054" s="103"/>
      <c r="AN1054" s="103"/>
      <c r="AO1054" s="103">
        <v>31</v>
      </c>
      <c r="AP1054" s="103"/>
      <c r="AQ1054" s="103"/>
      <c r="AR1054" s="103"/>
      <c r="AS1054" s="103"/>
      <c r="AT1054" s="103"/>
      <c r="AU1054" s="103"/>
      <c r="AV1054" s="103"/>
      <c r="AW1054" s="104" t="str">
        <f>HYPERLINK("http://www.openstreetmap.org/?mlat=36.2954&amp;mlon=43.5053&amp;zoom=12#map=12/36.2954/43.5053","Maplink1")</f>
        <v>Maplink1</v>
      </c>
      <c r="AX1054" s="104" t="str">
        <f>HYPERLINK("https://www.google.iq/maps/search/+36.2954,43.5053/@36.2954,43.5053,14z?hl=en","Maplink2")</f>
        <v>Maplink2</v>
      </c>
      <c r="AY1054" s="104" t="str">
        <f>HYPERLINK("http://www.bing.com/maps/?lvl=14&amp;sty=h&amp;cp=36.2954~43.5053&amp;sp=point.36.2954_43.5053","Maplink3")</f>
        <v>Maplink3</v>
      </c>
    </row>
    <row r="1055" spans="1:51" x14ac:dyDescent="0.2">
      <c r="A1055" s="102">
        <v>17373</v>
      </c>
      <c r="B1055" s="103" t="s">
        <v>35</v>
      </c>
      <c r="C1055" s="103" t="s">
        <v>99</v>
      </c>
      <c r="D1055" s="103" t="s">
        <v>2076</v>
      </c>
      <c r="E1055" s="103" t="s">
        <v>2077</v>
      </c>
      <c r="F1055" s="103">
        <v>36.314425999999997</v>
      </c>
      <c r="G1055" s="103">
        <v>43.330040195800002</v>
      </c>
      <c r="H1055" s="102">
        <v>1000</v>
      </c>
      <c r="I1055" s="102">
        <v>6000</v>
      </c>
      <c r="J1055" s="103"/>
      <c r="K1055" s="103"/>
      <c r="L1055" s="103"/>
      <c r="M1055" s="103">
        <v>1000</v>
      </c>
      <c r="N1055" s="103"/>
      <c r="O1055" s="103"/>
      <c r="P1055" s="103"/>
      <c r="Q1055" s="103"/>
      <c r="R1055" s="103"/>
      <c r="S1055" s="103"/>
      <c r="T1055" s="103"/>
      <c r="U1055" s="103"/>
      <c r="V1055" s="103">
        <v>72</v>
      </c>
      <c r="W1055" s="103">
        <v>70</v>
      </c>
      <c r="X1055" s="103">
        <v>3</v>
      </c>
      <c r="Y1055" s="103">
        <v>20</v>
      </c>
      <c r="Z1055" s="103"/>
      <c r="AA1055" s="103">
        <v>245</v>
      </c>
      <c r="AB1055" s="103">
        <v>80</v>
      </c>
      <c r="AC1055" s="103"/>
      <c r="AD1055" s="103">
        <v>19</v>
      </c>
      <c r="AE1055" s="103">
        <v>13</v>
      </c>
      <c r="AF1055" s="103">
        <v>100</v>
      </c>
      <c r="AG1055" s="103">
        <v>40</v>
      </c>
      <c r="AH1055" s="103">
        <v>80</v>
      </c>
      <c r="AI1055" s="103"/>
      <c r="AJ1055" s="103">
        <v>7</v>
      </c>
      <c r="AK1055" s="103">
        <v>31</v>
      </c>
      <c r="AL1055" s="103">
        <v>220</v>
      </c>
      <c r="AM1055" s="103"/>
      <c r="AN1055" s="103"/>
      <c r="AO1055" s="103">
        <v>1000</v>
      </c>
      <c r="AP1055" s="103"/>
      <c r="AQ1055" s="103"/>
      <c r="AR1055" s="103"/>
      <c r="AS1055" s="103"/>
      <c r="AT1055" s="103"/>
      <c r="AU1055" s="103"/>
      <c r="AV1055" s="103"/>
      <c r="AW1055" s="104" t="str">
        <f>HYPERLINK("http://www.openstreetmap.org/?mlat=36.3144&amp;mlon=43.33&amp;zoom=12#map=12/36.3144/43.33","Maplink1")</f>
        <v>Maplink1</v>
      </c>
      <c r="AX1055" s="104" t="str">
        <f>HYPERLINK("https://www.google.iq/maps/search/+36.3144,43.33/@36.3144,43.33,14z?hl=en","Maplink2")</f>
        <v>Maplink2</v>
      </c>
      <c r="AY1055" s="104" t="str">
        <f>HYPERLINK("http://www.bing.com/maps/?lvl=14&amp;sty=h&amp;cp=36.3144~43.33&amp;sp=point.36.3144_43.33","Maplink3")</f>
        <v>Maplink3</v>
      </c>
    </row>
    <row r="1056" spans="1:51" x14ac:dyDescent="0.2">
      <c r="A1056" s="102">
        <v>17383</v>
      </c>
      <c r="B1056" s="103" t="s">
        <v>35</v>
      </c>
      <c r="C1056" s="103" t="s">
        <v>99</v>
      </c>
      <c r="D1056" s="103" t="s">
        <v>2078</v>
      </c>
      <c r="E1056" s="103" t="s">
        <v>2079</v>
      </c>
      <c r="F1056" s="103">
        <v>36.340828999999999</v>
      </c>
      <c r="G1056" s="103">
        <v>43.4485784373</v>
      </c>
      <c r="H1056" s="102">
        <v>430</v>
      </c>
      <c r="I1056" s="102">
        <v>2580</v>
      </c>
      <c r="J1056" s="103"/>
      <c r="K1056" s="103"/>
      <c r="L1056" s="103"/>
      <c r="M1056" s="103">
        <v>420</v>
      </c>
      <c r="N1056" s="103">
        <v>10</v>
      </c>
      <c r="O1056" s="103"/>
      <c r="P1056" s="103"/>
      <c r="Q1056" s="103"/>
      <c r="R1056" s="103"/>
      <c r="S1056" s="103"/>
      <c r="T1056" s="103"/>
      <c r="U1056" s="103"/>
      <c r="V1056" s="103">
        <v>8</v>
      </c>
      <c r="W1056" s="103">
        <v>6</v>
      </c>
      <c r="X1056" s="103"/>
      <c r="Y1056" s="103"/>
      <c r="Z1056" s="103"/>
      <c r="AA1056" s="103">
        <v>365</v>
      </c>
      <c r="AB1056" s="103">
        <v>9</v>
      </c>
      <c r="AC1056" s="103"/>
      <c r="AD1056" s="103"/>
      <c r="AE1056" s="103"/>
      <c r="AF1056" s="103">
        <v>5</v>
      </c>
      <c r="AG1056" s="103">
        <v>17</v>
      </c>
      <c r="AH1056" s="103">
        <v>5</v>
      </c>
      <c r="AI1056" s="103"/>
      <c r="AJ1056" s="103">
        <v>2</v>
      </c>
      <c r="AK1056" s="103"/>
      <c r="AL1056" s="103">
        <v>13</v>
      </c>
      <c r="AM1056" s="103"/>
      <c r="AN1056" s="103"/>
      <c r="AO1056" s="103">
        <v>430</v>
      </c>
      <c r="AP1056" s="103"/>
      <c r="AQ1056" s="103"/>
      <c r="AR1056" s="103"/>
      <c r="AS1056" s="103"/>
      <c r="AT1056" s="103"/>
      <c r="AU1056" s="103"/>
      <c r="AV1056" s="103"/>
      <c r="AW1056" s="104" t="str">
        <f>HYPERLINK("http://www.openstreetmap.org/?mlat=36.3408&amp;mlon=43.4486&amp;zoom=12#map=12/36.3408/43.4486","Maplink1")</f>
        <v>Maplink1</v>
      </c>
      <c r="AX1056" s="104" t="str">
        <f>HYPERLINK("https://www.google.iq/maps/search/+36.3408,43.4486/@36.3408,43.4486,14z?hl=en","Maplink2")</f>
        <v>Maplink2</v>
      </c>
      <c r="AY1056" s="104" t="str">
        <f>HYPERLINK("http://www.bing.com/maps/?lvl=14&amp;sty=h&amp;cp=36.3408~43.4486&amp;sp=point.36.3408_43.4486","Maplink3")</f>
        <v>Maplink3</v>
      </c>
    </row>
    <row r="1057" spans="1:51" x14ac:dyDescent="0.2">
      <c r="A1057" s="102">
        <v>21939</v>
      </c>
      <c r="B1057" s="103" t="s">
        <v>35</v>
      </c>
      <c r="C1057" s="103" t="s">
        <v>99</v>
      </c>
      <c r="D1057" s="103" t="s">
        <v>2086</v>
      </c>
      <c r="E1057" s="103" t="s">
        <v>2087</v>
      </c>
      <c r="F1057" s="103">
        <v>36.321536000000002</v>
      </c>
      <c r="G1057" s="103">
        <v>43.449909782699997</v>
      </c>
      <c r="H1057" s="102">
        <v>647</v>
      </c>
      <c r="I1057" s="102">
        <v>3882</v>
      </c>
      <c r="J1057" s="103"/>
      <c r="K1057" s="103"/>
      <c r="L1057" s="103"/>
      <c r="M1057" s="103">
        <v>647</v>
      </c>
      <c r="N1057" s="103"/>
      <c r="O1057" s="103"/>
      <c r="P1057" s="103"/>
      <c r="Q1057" s="103"/>
      <c r="R1057" s="103"/>
      <c r="S1057" s="103"/>
      <c r="T1057" s="103"/>
      <c r="U1057" s="103"/>
      <c r="V1057" s="103"/>
      <c r="W1057" s="103"/>
      <c r="X1057" s="103"/>
      <c r="Y1057" s="103"/>
      <c r="Z1057" s="103"/>
      <c r="AA1057" s="103">
        <v>442</v>
      </c>
      <c r="AB1057" s="103">
        <v>5</v>
      </c>
      <c r="AC1057" s="103"/>
      <c r="AD1057" s="103"/>
      <c r="AE1057" s="103"/>
      <c r="AF1057" s="103">
        <v>11</v>
      </c>
      <c r="AG1057" s="103">
        <v>147</v>
      </c>
      <c r="AH1057" s="103">
        <v>2</v>
      </c>
      <c r="AI1057" s="103"/>
      <c r="AJ1057" s="103"/>
      <c r="AK1057" s="103"/>
      <c r="AL1057" s="103">
        <v>40</v>
      </c>
      <c r="AM1057" s="103"/>
      <c r="AN1057" s="103"/>
      <c r="AO1057" s="103">
        <v>647</v>
      </c>
      <c r="AP1057" s="103"/>
      <c r="AQ1057" s="103"/>
      <c r="AR1057" s="103"/>
      <c r="AS1057" s="103"/>
      <c r="AT1057" s="103"/>
      <c r="AU1057" s="103"/>
      <c r="AV1057" s="103"/>
      <c r="AW1057" s="104" t="str">
        <f>HYPERLINK("http://www.openstreetmap.org/?mlat=36.3215&amp;mlon=43.4499&amp;zoom=12#map=12/36.3215/43.4499","Maplink1")</f>
        <v>Maplink1</v>
      </c>
      <c r="AX1057" s="104" t="str">
        <f>HYPERLINK("https://www.google.iq/maps/search/+36.3215,43.4499/@36.3215,43.4499,14z?hl=en","Maplink2")</f>
        <v>Maplink2</v>
      </c>
      <c r="AY1057" s="104" t="str">
        <f>HYPERLINK("http://www.bing.com/maps/?lvl=14&amp;sty=h&amp;cp=36.3215~43.4499&amp;sp=point.36.3215_43.4499","Maplink3")</f>
        <v>Maplink3</v>
      </c>
    </row>
    <row r="1058" spans="1:51" x14ac:dyDescent="0.2">
      <c r="A1058" s="102">
        <v>17995</v>
      </c>
      <c r="B1058" s="103" t="s">
        <v>35</v>
      </c>
      <c r="C1058" s="103" t="s">
        <v>99</v>
      </c>
      <c r="D1058" s="103" t="s">
        <v>2088</v>
      </c>
      <c r="E1058" s="103" t="s">
        <v>2089</v>
      </c>
      <c r="F1058" s="103">
        <v>36.027476217999997</v>
      </c>
      <c r="G1058" s="103">
        <v>43.406684910000003</v>
      </c>
      <c r="H1058" s="102">
        <v>248</v>
      </c>
      <c r="I1058" s="102">
        <v>1488</v>
      </c>
      <c r="J1058" s="103"/>
      <c r="K1058" s="103"/>
      <c r="L1058" s="103"/>
      <c r="M1058" s="103">
        <v>248</v>
      </c>
      <c r="N1058" s="103"/>
      <c r="O1058" s="103"/>
      <c r="P1058" s="103"/>
      <c r="Q1058" s="103"/>
      <c r="R1058" s="103"/>
      <c r="S1058" s="103"/>
      <c r="T1058" s="103"/>
      <c r="U1058" s="103"/>
      <c r="V1058" s="103"/>
      <c r="W1058" s="103"/>
      <c r="X1058" s="103"/>
      <c r="Y1058" s="103"/>
      <c r="Z1058" s="103"/>
      <c r="AA1058" s="103"/>
      <c r="AB1058" s="103"/>
      <c r="AC1058" s="103"/>
      <c r="AD1058" s="103"/>
      <c r="AE1058" s="103"/>
      <c r="AF1058" s="103"/>
      <c r="AG1058" s="103">
        <v>248</v>
      </c>
      <c r="AH1058" s="103"/>
      <c r="AI1058" s="103"/>
      <c r="AJ1058" s="103"/>
      <c r="AK1058" s="103"/>
      <c r="AL1058" s="103"/>
      <c r="AM1058" s="103"/>
      <c r="AN1058" s="103"/>
      <c r="AO1058" s="103"/>
      <c r="AP1058" s="103"/>
      <c r="AQ1058" s="103"/>
      <c r="AR1058" s="103"/>
      <c r="AS1058" s="103">
        <v>248</v>
      </c>
      <c r="AT1058" s="103"/>
      <c r="AU1058" s="103"/>
      <c r="AV1058" s="103"/>
      <c r="AW1058" s="104" t="str">
        <f>HYPERLINK("http://www.openstreetmap.org/?mlat=36.0275&amp;mlon=43.4067&amp;zoom=12#map=12/36.0275/43.4067","Maplink1")</f>
        <v>Maplink1</v>
      </c>
      <c r="AX1058" s="104" t="str">
        <f>HYPERLINK("https://www.google.iq/maps/search/+36.0275,43.4067/@36.0275,43.4067,14z?hl=en","Maplink2")</f>
        <v>Maplink2</v>
      </c>
      <c r="AY1058" s="104" t="str">
        <f>HYPERLINK("http://www.bing.com/maps/?lvl=14&amp;sty=h&amp;cp=36.0275~43.4067&amp;sp=point.36.0275_43.4067","Maplink3")</f>
        <v>Maplink3</v>
      </c>
    </row>
    <row r="1059" spans="1:51" x14ac:dyDescent="0.2">
      <c r="A1059" s="102">
        <v>17399</v>
      </c>
      <c r="B1059" s="103" t="s">
        <v>35</v>
      </c>
      <c r="C1059" s="103" t="s">
        <v>99</v>
      </c>
      <c r="D1059" s="103" t="s">
        <v>2090</v>
      </c>
      <c r="E1059" s="103" t="s">
        <v>2091</v>
      </c>
      <c r="F1059" s="103">
        <v>36.288058999999997</v>
      </c>
      <c r="G1059" s="103">
        <v>43.242842897300001</v>
      </c>
      <c r="H1059" s="102">
        <v>391</v>
      </c>
      <c r="I1059" s="102">
        <v>2346</v>
      </c>
      <c r="J1059" s="103"/>
      <c r="K1059" s="103"/>
      <c r="L1059" s="103"/>
      <c r="M1059" s="103">
        <v>391</v>
      </c>
      <c r="N1059" s="103"/>
      <c r="O1059" s="103"/>
      <c r="P1059" s="103"/>
      <c r="Q1059" s="103"/>
      <c r="R1059" s="103"/>
      <c r="S1059" s="103"/>
      <c r="T1059" s="103"/>
      <c r="U1059" s="103"/>
      <c r="V1059" s="103"/>
      <c r="W1059" s="103"/>
      <c r="X1059" s="103">
        <v>5</v>
      </c>
      <c r="Y1059" s="103"/>
      <c r="Z1059" s="103"/>
      <c r="AA1059" s="103">
        <v>74</v>
      </c>
      <c r="AB1059" s="103">
        <v>5</v>
      </c>
      <c r="AC1059" s="103"/>
      <c r="AD1059" s="103"/>
      <c r="AE1059" s="103"/>
      <c r="AF1059" s="103">
        <v>20</v>
      </c>
      <c r="AG1059" s="103">
        <v>263</v>
      </c>
      <c r="AH1059" s="103">
        <v>10</v>
      </c>
      <c r="AI1059" s="103"/>
      <c r="AJ1059" s="103">
        <v>2</v>
      </c>
      <c r="AK1059" s="103"/>
      <c r="AL1059" s="103">
        <v>12</v>
      </c>
      <c r="AM1059" s="103"/>
      <c r="AN1059" s="103"/>
      <c r="AO1059" s="103">
        <v>131</v>
      </c>
      <c r="AP1059" s="103"/>
      <c r="AQ1059" s="103"/>
      <c r="AR1059" s="103"/>
      <c r="AS1059" s="103">
        <v>260</v>
      </c>
      <c r="AT1059" s="103"/>
      <c r="AU1059" s="103"/>
      <c r="AV1059" s="103"/>
      <c r="AW1059" s="104" t="str">
        <f>HYPERLINK("http://www.openstreetmap.org/?mlat=36.2881&amp;mlon=43.2428&amp;zoom=12#map=12/36.2881/43.2428","Maplink1")</f>
        <v>Maplink1</v>
      </c>
      <c r="AX1059" s="104" t="str">
        <f>HYPERLINK("https://www.google.iq/maps/search/+36.2881,43.2428/@36.2881,43.2428,14z?hl=en","Maplink2")</f>
        <v>Maplink2</v>
      </c>
      <c r="AY1059" s="104" t="str">
        <f>HYPERLINK("http://www.bing.com/maps/?lvl=14&amp;sty=h&amp;cp=36.2881~43.2428&amp;sp=point.36.2881_43.2428","Maplink3")</f>
        <v>Maplink3</v>
      </c>
    </row>
    <row r="1060" spans="1:51" x14ac:dyDescent="0.2">
      <c r="A1060" s="102">
        <v>32081</v>
      </c>
      <c r="B1060" s="103" t="s">
        <v>35</v>
      </c>
      <c r="C1060" s="103" t="s">
        <v>99</v>
      </c>
      <c r="D1060" s="103" t="s">
        <v>2048</v>
      </c>
      <c r="E1060" s="103" t="s">
        <v>2049</v>
      </c>
      <c r="F1060" s="103">
        <v>36.273051000000002</v>
      </c>
      <c r="G1060" s="103">
        <v>43.482213598100003</v>
      </c>
      <c r="H1060" s="102">
        <v>198</v>
      </c>
      <c r="I1060" s="102">
        <v>1188</v>
      </c>
      <c r="J1060" s="103"/>
      <c r="K1060" s="103"/>
      <c r="L1060" s="103"/>
      <c r="M1060" s="103">
        <v>158</v>
      </c>
      <c r="N1060" s="103">
        <v>40</v>
      </c>
      <c r="O1060" s="103"/>
      <c r="P1060" s="103"/>
      <c r="Q1060" s="103"/>
      <c r="R1060" s="103"/>
      <c r="S1060" s="103"/>
      <c r="T1060" s="103"/>
      <c r="U1060" s="103"/>
      <c r="V1060" s="103">
        <v>1</v>
      </c>
      <c r="W1060" s="103">
        <v>3</v>
      </c>
      <c r="X1060" s="103"/>
      <c r="Y1060" s="103">
        <v>1</v>
      </c>
      <c r="Z1060" s="103"/>
      <c r="AA1060" s="103">
        <v>148</v>
      </c>
      <c r="AB1060" s="103">
        <v>2</v>
      </c>
      <c r="AC1060" s="103"/>
      <c r="AD1060" s="103"/>
      <c r="AE1060" s="103"/>
      <c r="AF1060" s="103">
        <v>7</v>
      </c>
      <c r="AG1060" s="103">
        <v>13</v>
      </c>
      <c r="AH1060" s="103">
        <v>2</v>
      </c>
      <c r="AI1060" s="103"/>
      <c r="AJ1060" s="103">
        <v>16</v>
      </c>
      <c r="AK1060" s="103"/>
      <c r="AL1060" s="103">
        <v>5</v>
      </c>
      <c r="AM1060" s="103"/>
      <c r="AN1060" s="103"/>
      <c r="AO1060" s="103">
        <v>198</v>
      </c>
      <c r="AP1060" s="103"/>
      <c r="AQ1060" s="103"/>
      <c r="AR1060" s="103"/>
      <c r="AS1060" s="103"/>
      <c r="AT1060" s="103"/>
      <c r="AU1060" s="103"/>
      <c r="AV1060" s="103"/>
      <c r="AW1060" s="104" t="str">
        <f>HYPERLINK("http://www.openstreetmap.org/?mlat=36.2731&amp;mlon=43.4822&amp;zoom=12#map=12/36.2731/43.4822","Maplink1")</f>
        <v>Maplink1</v>
      </c>
      <c r="AX1060" s="104" t="str">
        <f>HYPERLINK("https://www.google.iq/maps/search/+36.2731,43.4822/@36.2731,43.4822,14z?hl=en","Maplink2")</f>
        <v>Maplink2</v>
      </c>
      <c r="AY1060" s="104" t="str">
        <f>HYPERLINK("http://www.bing.com/maps/?lvl=14&amp;sty=h&amp;cp=36.2731~43.4822&amp;sp=point.36.2731_43.4822","Maplink3")</f>
        <v>Maplink3</v>
      </c>
    </row>
    <row r="1061" spans="1:51" x14ac:dyDescent="0.2">
      <c r="A1061" s="102">
        <v>22805</v>
      </c>
      <c r="B1061" s="103" t="s">
        <v>35</v>
      </c>
      <c r="C1061" s="103" t="s">
        <v>99</v>
      </c>
      <c r="D1061" s="103" t="s">
        <v>2082</v>
      </c>
      <c r="E1061" s="103" t="s">
        <v>2083</v>
      </c>
      <c r="F1061" s="103">
        <v>36.323174999999999</v>
      </c>
      <c r="G1061" s="103">
        <v>43.2416862249</v>
      </c>
      <c r="H1061" s="102">
        <v>96</v>
      </c>
      <c r="I1061" s="102">
        <v>576</v>
      </c>
      <c r="J1061" s="103"/>
      <c r="K1061" s="103"/>
      <c r="L1061" s="103"/>
      <c r="M1061" s="103">
        <v>96</v>
      </c>
      <c r="N1061" s="103"/>
      <c r="O1061" s="103"/>
      <c r="P1061" s="103"/>
      <c r="Q1061" s="103"/>
      <c r="R1061" s="103"/>
      <c r="S1061" s="103"/>
      <c r="T1061" s="103"/>
      <c r="U1061" s="103"/>
      <c r="V1061" s="103"/>
      <c r="W1061" s="103"/>
      <c r="X1061" s="103"/>
      <c r="Y1061" s="103"/>
      <c r="Z1061" s="103"/>
      <c r="AA1061" s="103">
        <v>6</v>
      </c>
      <c r="AB1061" s="103"/>
      <c r="AC1061" s="103"/>
      <c r="AD1061" s="103"/>
      <c r="AE1061" s="103"/>
      <c r="AF1061" s="103"/>
      <c r="AG1061" s="103">
        <v>90</v>
      </c>
      <c r="AH1061" s="103"/>
      <c r="AI1061" s="103"/>
      <c r="AJ1061" s="103"/>
      <c r="AK1061" s="103"/>
      <c r="AL1061" s="103"/>
      <c r="AM1061" s="103"/>
      <c r="AN1061" s="103"/>
      <c r="AO1061" s="103">
        <v>6</v>
      </c>
      <c r="AP1061" s="103"/>
      <c r="AQ1061" s="103"/>
      <c r="AR1061" s="103"/>
      <c r="AS1061" s="103">
        <v>90</v>
      </c>
      <c r="AT1061" s="103"/>
      <c r="AU1061" s="103"/>
      <c r="AV1061" s="103"/>
      <c r="AW1061" s="104" t="str">
        <f>HYPERLINK("http://www.openstreetmap.org/?mlat=36.3232&amp;mlon=43.2417&amp;zoom=12#map=12/36.3232/43.2417","Maplink1")</f>
        <v>Maplink1</v>
      </c>
      <c r="AX1061" s="104" t="str">
        <f>HYPERLINK("https://www.google.iq/maps/search/+36.3232,43.2417/@36.3232,43.2417,14z?hl=en","Maplink2")</f>
        <v>Maplink2</v>
      </c>
      <c r="AY1061" s="104" t="str">
        <f>HYPERLINK("http://www.bing.com/maps/?lvl=14&amp;sty=h&amp;cp=36.3232~43.2417&amp;sp=point.36.3232_43.2417","Maplink3")</f>
        <v>Maplink3</v>
      </c>
    </row>
    <row r="1062" spans="1:51" x14ac:dyDescent="0.2">
      <c r="A1062" s="102">
        <v>22216</v>
      </c>
      <c r="B1062" s="103" t="s">
        <v>35</v>
      </c>
      <c r="C1062" s="103" t="s">
        <v>99</v>
      </c>
      <c r="D1062" s="103" t="s">
        <v>2084</v>
      </c>
      <c r="E1062" s="103" t="s">
        <v>2085</v>
      </c>
      <c r="F1062" s="103">
        <v>36.318866999999997</v>
      </c>
      <c r="G1062" s="103">
        <v>43.473875550300001</v>
      </c>
      <c r="H1062" s="102">
        <v>166</v>
      </c>
      <c r="I1062" s="102">
        <v>996</v>
      </c>
      <c r="J1062" s="103"/>
      <c r="K1062" s="103"/>
      <c r="L1062" s="103"/>
      <c r="M1062" s="103">
        <v>142</v>
      </c>
      <c r="N1062" s="103">
        <v>24</v>
      </c>
      <c r="O1062" s="103"/>
      <c r="P1062" s="103"/>
      <c r="Q1062" s="103"/>
      <c r="R1062" s="103"/>
      <c r="S1062" s="103"/>
      <c r="T1062" s="103"/>
      <c r="U1062" s="103"/>
      <c r="V1062" s="103"/>
      <c r="W1062" s="103"/>
      <c r="X1062" s="103"/>
      <c r="Y1062" s="103"/>
      <c r="Z1062" s="103"/>
      <c r="AA1062" s="103">
        <v>158</v>
      </c>
      <c r="AB1062" s="103"/>
      <c r="AC1062" s="103">
        <v>1</v>
      </c>
      <c r="AD1062" s="103"/>
      <c r="AE1062" s="103"/>
      <c r="AF1062" s="103"/>
      <c r="AG1062" s="103">
        <v>5</v>
      </c>
      <c r="AH1062" s="103"/>
      <c r="AI1062" s="103"/>
      <c r="AJ1062" s="103">
        <v>2</v>
      </c>
      <c r="AK1062" s="103"/>
      <c r="AL1062" s="103"/>
      <c r="AM1062" s="103"/>
      <c r="AN1062" s="103"/>
      <c r="AO1062" s="103">
        <v>166</v>
      </c>
      <c r="AP1062" s="103"/>
      <c r="AQ1062" s="103"/>
      <c r="AR1062" s="103"/>
      <c r="AS1062" s="103"/>
      <c r="AT1062" s="103"/>
      <c r="AU1062" s="103"/>
      <c r="AV1062" s="103"/>
      <c r="AW1062" s="104" t="str">
        <f>HYPERLINK("http://www.openstreetmap.org/?mlat=36.3189&amp;mlon=43.4739&amp;zoom=12#map=12/36.3189/43.4739","Maplink1")</f>
        <v>Maplink1</v>
      </c>
      <c r="AX1062" s="104" t="str">
        <f>HYPERLINK("https://www.google.iq/maps/search/+36.3189,43.4739/@36.3189,43.4739,14z?hl=en","Maplink2")</f>
        <v>Maplink2</v>
      </c>
      <c r="AY1062" s="104" t="str">
        <f>HYPERLINK("http://www.bing.com/maps/?lvl=14&amp;sty=h&amp;cp=36.3189~43.4739&amp;sp=point.36.3189_43.4739","Maplink3")</f>
        <v>Maplink3</v>
      </c>
    </row>
    <row r="1063" spans="1:51" x14ac:dyDescent="0.2">
      <c r="A1063" s="102">
        <v>21017</v>
      </c>
      <c r="B1063" s="103" t="s">
        <v>35</v>
      </c>
      <c r="C1063" s="103" t="s">
        <v>99</v>
      </c>
      <c r="D1063" s="103" t="s">
        <v>2034</v>
      </c>
      <c r="E1063" s="103" t="s">
        <v>2035</v>
      </c>
      <c r="F1063" s="103">
        <v>36.303679000000002</v>
      </c>
      <c r="G1063" s="103">
        <v>43.413433348799998</v>
      </c>
      <c r="H1063" s="102">
        <v>450</v>
      </c>
      <c r="I1063" s="102">
        <v>2700</v>
      </c>
      <c r="J1063" s="103"/>
      <c r="K1063" s="103"/>
      <c r="L1063" s="103"/>
      <c r="M1063" s="103">
        <v>450</v>
      </c>
      <c r="N1063" s="103"/>
      <c r="O1063" s="103"/>
      <c r="P1063" s="103"/>
      <c r="Q1063" s="103"/>
      <c r="R1063" s="103"/>
      <c r="S1063" s="103"/>
      <c r="T1063" s="103"/>
      <c r="U1063" s="103"/>
      <c r="V1063" s="103">
        <v>4</v>
      </c>
      <c r="W1063" s="103">
        <v>70</v>
      </c>
      <c r="X1063" s="103"/>
      <c r="Y1063" s="103">
        <v>3</v>
      </c>
      <c r="Z1063" s="103"/>
      <c r="AA1063" s="103">
        <v>347</v>
      </c>
      <c r="AB1063" s="103">
        <v>5</v>
      </c>
      <c r="AC1063" s="103">
        <v>1</v>
      </c>
      <c r="AD1063" s="103"/>
      <c r="AE1063" s="103"/>
      <c r="AF1063" s="103">
        <v>9</v>
      </c>
      <c r="AG1063" s="103"/>
      <c r="AH1063" s="103"/>
      <c r="AI1063" s="103"/>
      <c r="AJ1063" s="103"/>
      <c r="AK1063" s="103">
        <v>11</v>
      </c>
      <c r="AL1063" s="103"/>
      <c r="AM1063" s="103"/>
      <c r="AN1063" s="103"/>
      <c r="AO1063" s="103">
        <v>450</v>
      </c>
      <c r="AP1063" s="103"/>
      <c r="AQ1063" s="103"/>
      <c r="AR1063" s="103"/>
      <c r="AS1063" s="103"/>
      <c r="AT1063" s="103"/>
      <c r="AU1063" s="103"/>
      <c r="AV1063" s="103"/>
      <c r="AW1063" s="104" t="str">
        <f>HYPERLINK("http://www.openstreetmap.org/?mlat=36.3037&amp;mlon=43.4134&amp;zoom=12#map=12/36.3037/43.4134","Maplink1")</f>
        <v>Maplink1</v>
      </c>
      <c r="AX1063" s="104" t="str">
        <f>HYPERLINK("https://www.google.iq/maps/search/+36.3037,43.4134/@36.3037,43.4134,14z?hl=en","Maplink2")</f>
        <v>Maplink2</v>
      </c>
      <c r="AY1063" s="104" t="str">
        <f>HYPERLINK("http://www.bing.com/maps/?lvl=14&amp;sty=h&amp;cp=36.3037~43.4134&amp;sp=point.36.3037_43.4134","Maplink3")</f>
        <v>Maplink3</v>
      </c>
    </row>
    <row r="1064" spans="1:51" x14ac:dyDescent="0.2">
      <c r="A1064" s="102">
        <v>22211</v>
      </c>
      <c r="B1064" s="103" t="s">
        <v>35</v>
      </c>
      <c r="C1064" s="103" t="s">
        <v>99</v>
      </c>
      <c r="D1064" s="103" t="s">
        <v>2036</v>
      </c>
      <c r="E1064" s="103" t="s">
        <v>2037</v>
      </c>
      <c r="F1064" s="103">
        <v>36.353264000000003</v>
      </c>
      <c r="G1064" s="103">
        <v>43.317336743600002</v>
      </c>
      <c r="H1064" s="102">
        <v>250</v>
      </c>
      <c r="I1064" s="102">
        <v>1500</v>
      </c>
      <c r="J1064" s="103"/>
      <c r="K1064" s="103"/>
      <c r="L1064" s="103"/>
      <c r="M1064" s="103">
        <v>250</v>
      </c>
      <c r="N1064" s="103"/>
      <c r="O1064" s="103"/>
      <c r="P1064" s="103"/>
      <c r="Q1064" s="103"/>
      <c r="R1064" s="103"/>
      <c r="S1064" s="103"/>
      <c r="T1064" s="103"/>
      <c r="U1064" s="103"/>
      <c r="V1064" s="103">
        <v>19</v>
      </c>
      <c r="W1064" s="103">
        <v>25</v>
      </c>
      <c r="X1064" s="103"/>
      <c r="Y1064" s="103">
        <v>7</v>
      </c>
      <c r="Z1064" s="103"/>
      <c r="AA1064" s="103">
        <v>93</v>
      </c>
      <c r="AB1064" s="103">
        <v>58</v>
      </c>
      <c r="AC1064" s="103"/>
      <c r="AD1064" s="103">
        <v>1</v>
      </c>
      <c r="AE1064" s="103">
        <v>4</v>
      </c>
      <c r="AF1064" s="103">
        <v>31</v>
      </c>
      <c r="AG1064" s="103">
        <v>2</v>
      </c>
      <c r="AH1064" s="103"/>
      <c r="AI1064" s="103"/>
      <c r="AJ1064" s="103"/>
      <c r="AK1064" s="103"/>
      <c r="AL1064" s="103">
        <v>10</v>
      </c>
      <c r="AM1064" s="103"/>
      <c r="AN1064" s="103"/>
      <c r="AO1064" s="103">
        <v>250</v>
      </c>
      <c r="AP1064" s="103"/>
      <c r="AQ1064" s="103"/>
      <c r="AR1064" s="103"/>
      <c r="AS1064" s="103"/>
      <c r="AT1064" s="103"/>
      <c r="AU1064" s="103"/>
      <c r="AV1064" s="103"/>
      <c r="AW1064" s="104" t="str">
        <f>HYPERLINK("http://www.openstreetmap.org/?mlat=36.3533&amp;mlon=43.3173&amp;zoom=12#map=12/36.3533/43.3173","Maplink1")</f>
        <v>Maplink1</v>
      </c>
      <c r="AX1064" s="104" t="str">
        <f>HYPERLINK("https://www.google.iq/maps/search/+36.3533,43.3173/@36.3533,43.3173,14z?hl=en","Maplink2")</f>
        <v>Maplink2</v>
      </c>
      <c r="AY1064" s="104" t="str">
        <f>HYPERLINK("http://www.bing.com/maps/?lvl=14&amp;sty=h&amp;cp=36.3533~43.3173&amp;sp=point.36.3533_43.3173","Maplink3")</f>
        <v>Maplink3</v>
      </c>
    </row>
    <row r="1065" spans="1:51" x14ac:dyDescent="0.2">
      <c r="A1065" s="102">
        <v>17839</v>
      </c>
      <c r="B1065" s="103" t="s">
        <v>35</v>
      </c>
      <c r="C1065" s="103" t="s">
        <v>99</v>
      </c>
      <c r="D1065" s="103" t="s">
        <v>2038</v>
      </c>
      <c r="E1065" s="103" t="s">
        <v>2039</v>
      </c>
      <c r="F1065" s="103">
        <v>36.059154999999997</v>
      </c>
      <c r="G1065" s="103">
        <v>43.472654524100001</v>
      </c>
      <c r="H1065" s="102">
        <v>225</v>
      </c>
      <c r="I1065" s="102">
        <v>1350</v>
      </c>
      <c r="J1065" s="103"/>
      <c r="K1065" s="103"/>
      <c r="L1065" s="103"/>
      <c r="M1065" s="103">
        <v>205</v>
      </c>
      <c r="N1065" s="103">
        <v>20</v>
      </c>
      <c r="O1065" s="103"/>
      <c r="P1065" s="103"/>
      <c r="Q1065" s="103"/>
      <c r="R1065" s="103"/>
      <c r="S1065" s="103"/>
      <c r="T1065" s="103"/>
      <c r="U1065" s="103"/>
      <c r="V1065" s="103"/>
      <c r="W1065" s="103"/>
      <c r="X1065" s="103"/>
      <c r="Y1065" s="103"/>
      <c r="Z1065" s="103"/>
      <c r="AA1065" s="103"/>
      <c r="AB1065" s="103"/>
      <c r="AC1065" s="103"/>
      <c r="AD1065" s="103"/>
      <c r="AE1065" s="103"/>
      <c r="AF1065" s="103"/>
      <c r="AG1065" s="103">
        <v>225</v>
      </c>
      <c r="AH1065" s="103"/>
      <c r="AI1065" s="103"/>
      <c r="AJ1065" s="103"/>
      <c r="AK1065" s="103"/>
      <c r="AL1065" s="103"/>
      <c r="AM1065" s="103"/>
      <c r="AN1065" s="103"/>
      <c r="AO1065" s="103">
        <v>225</v>
      </c>
      <c r="AP1065" s="103"/>
      <c r="AQ1065" s="103"/>
      <c r="AR1065" s="103"/>
      <c r="AS1065" s="103"/>
      <c r="AT1065" s="103"/>
      <c r="AU1065" s="103"/>
      <c r="AV1065" s="103"/>
      <c r="AW1065" s="104" t="str">
        <f>HYPERLINK("http://www.openstreetmap.org/?mlat=36.0592&amp;mlon=43.4727&amp;zoom=12#map=12/36.0592/43.4727","Maplink1")</f>
        <v>Maplink1</v>
      </c>
      <c r="AX1065" s="104" t="str">
        <f>HYPERLINK("https://www.google.iq/maps/search/+36.0592,43.4727/@36.0592,43.4727,14z?hl=en","Maplink2")</f>
        <v>Maplink2</v>
      </c>
      <c r="AY1065" s="104" t="str">
        <f>HYPERLINK("http://www.bing.com/maps/?lvl=14&amp;sty=h&amp;cp=36.0592~43.4727&amp;sp=point.36.0592_43.4727","Maplink3")</f>
        <v>Maplink3</v>
      </c>
    </row>
    <row r="1066" spans="1:51" x14ac:dyDescent="0.2">
      <c r="A1066" s="102">
        <v>33601</v>
      </c>
      <c r="B1066" s="103" t="s">
        <v>35</v>
      </c>
      <c r="C1066" s="103" t="s">
        <v>99</v>
      </c>
      <c r="D1066" s="103" t="s">
        <v>2040</v>
      </c>
      <c r="E1066" s="103" t="s">
        <v>2041</v>
      </c>
      <c r="F1066" s="103">
        <v>36.140987000000003</v>
      </c>
      <c r="G1066" s="103">
        <v>43.411434830399998</v>
      </c>
      <c r="H1066" s="102">
        <v>30</v>
      </c>
      <c r="I1066" s="102">
        <v>180</v>
      </c>
      <c r="J1066" s="103"/>
      <c r="K1066" s="103"/>
      <c r="L1066" s="103"/>
      <c r="M1066" s="103">
        <v>30</v>
      </c>
      <c r="N1066" s="103"/>
      <c r="O1066" s="103"/>
      <c r="P1066" s="103"/>
      <c r="Q1066" s="103"/>
      <c r="R1066" s="103"/>
      <c r="S1066" s="103"/>
      <c r="T1066" s="103"/>
      <c r="U1066" s="103"/>
      <c r="V1066" s="103"/>
      <c r="W1066" s="103">
        <v>15</v>
      </c>
      <c r="X1066" s="103"/>
      <c r="Y1066" s="103"/>
      <c r="Z1066" s="103"/>
      <c r="AA1066" s="103">
        <v>5</v>
      </c>
      <c r="AB1066" s="103"/>
      <c r="AC1066" s="103">
        <v>10</v>
      </c>
      <c r="AD1066" s="103"/>
      <c r="AE1066" s="103"/>
      <c r="AF1066" s="103"/>
      <c r="AG1066" s="103"/>
      <c r="AH1066" s="103"/>
      <c r="AI1066" s="103"/>
      <c r="AJ1066" s="103"/>
      <c r="AK1066" s="103"/>
      <c r="AL1066" s="103"/>
      <c r="AM1066" s="103"/>
      <c r="AN1066" s="103"/>
      <c r="AO1066" s="103">
        <v>30</v>
      </c>
      <c r="AP1066" s="103"/>
      <c r="AQ1066" s="103"/>
      <c r="AR1066" s="103"/>
      <c r="AS1066" s="103"/>
      <c r="AT1066" s="103"/>
      <c r="AU1066" s="103"/>
      <c r="AV1066" s="103"/>
      <c r="AW1066" s="104" t="str">
        <f>HYPERLINK("http://www.openstreetmap.org/?mlat=36.141&amp;mlon=43.4114&amp;zoom=12#map=12/36.141/43.4114","Maplink1")</f>
        <v>Maplink1</v>
      </c>
      <c r="AX1066" s="104" t="str">
        <f>HYPERLINK("https://www.google.iq/maps/search/+36.141,43.4114/@36.141,43.4114,14z?hl=en","Maplink2")</f>
        <v>Maplink2</v>
      </c>
      <c r="AY1066" s="104" t="str">
        <f>HYPERLINK("http://www.bing.com/maps/?lvl=14&amp;sty=h&amp;cp=36.141~43.4114&amp;sp=point.36.141_43.4114","Maplink3")</f>
        <v>Maplink3</v>
      </c>
    </row>
    <row r="1067" spans="1:51" x14ac:dyDescent="0.2">
      <c r="A1067" s="102">
        <v>17766</v>
      </c>
      <c r="B1067" s="103" t="s">
        <v>35</v>
      </c>
      <c r="C1067" s="103" t="s">
        <v>99</v>
      </c>
      <c r="D1067" s="103" t="s">
        <v>2092</v>
      </c>
      <c r="E1067" s="103" t="s">
        <v>2093</v>
      </c>
      <c r="F1067" s="103">
        <v>36.334273000000003</v>
      </c>
      <c r="G1067" s="103">
        <v>43.355364577300001</v>
      </c>
      <c r="H1067" s="102">
        <v>940</v>
      </c>
      <c r="I1067" s="102">
        <v>5640</v>
      </c>
      <c r="J1067" s="103"/>
      <c r="K1067" s="103"/>
      <c r="L1067" s="103"/>
      <c r="M1067" s="103">
        <v>940</v>
      </c>
      <c r="N1067" s="103"/>
      <c r="O1067" s="103"/>
      <c r="P1067" s="103"/>
      <c r="Q1067" s="103"/>
      <c r="R1067" s="103"/>
      <c r="S1067" s="103"/>
      <c r="T1067" s="103"/>
      <c r="U1067" s="103"/>
      <c r="V1067" s="103">
        <v>46</v>
      </c>
      <c r="W1067" s="103">
        <v>112</v>
      </c>
      <c r="X1067" s="103">
        <v>1</v>
      </c>
      <c r="Y1067" s="103">
        <v>15</v>
      </c>
      <c r="Z1067" s="103"/>
      <c r="AA1067" s="103">
        <v>307</v>
      </c>
      <c r="AB1067" s="103">
        <v>50</v>
      </c>
      <c r="AC1067" s="103"/>
      <c r="AD1067" s="103">
        <v>3</v>
      </c>
      <c r="AE1067" s="103">
        <v>9</v>
      </c>
      <c r="AF1067" s="103">
        <v>140</v>
      </c>
      <c r="AG1067" s="103">
        <v>49</v>
      </c>
      <c r="AH1067" s="103">
        <v>90</v>
      </c>
      <c r="AI1067" s="103"/>
      <c r="AJ1067" s="103">
        <v>37</v>
      </c>
      <c r="AK1067" s="103">
        <v>25</v>
      </c>
      <c r="AL1067" s="103">
        <v>56</v>
      </c>
      <c r="AM1067" s="103"/>
      <c r="AN1067" s="103"/>
      <c r="AO1067" s="103">
        <v>940</v>
      </c>
      <c r="AP1067" s="103"/>
      <c r="AQ1067" s="103"/>
      <c r="AR1067" s="103"/>
      <c r="AS1067" s="103"/>
      <c r="AT1067" s="103"/>
      <c r="AU1067" s="103"/>
      <c r="AV1067" s="103"/>
      <c r="AW1067" s="104" t="str">
        <f>HYPERLINK("http://www.openstreetmap.org/?mlat=36.3343&amp;mlon=43.3554&amp;zoom=12#map=12/36.3343/43.3554","Maplink1")</f>
        <v>Maplink1</v>
      </c>
      <c r="AX1067" s="104" t="str">
        <f>HYPERLINK("https://www.google.iq/maps/search/+36.3343,43.3554/@36.3343,43.3554,14z?hl=en","Maplink2")</f>
        <v>Maplink2</v>
      </c>
      <c r="AY1067" s="104" t="str">
        <f>HYPERLINK("http://www.bing.com/maps/?lvl=14&amp;sty=h&amp;cp=36.3343~43.3554&amp;sp=point.36.3343_43.3554","Maplink3")</f>
        <v>Maplink3</v>
      </c>
    </row>
    <row r="1068" spans="1:51" x14ac:dyDescent="0.2">
      <c r="A1068" s="102">
        <v>17368</v>
      </c>
      <c r="B1068" s="103" t="s">
        <v>35</v>
      </c>
      <c r="C1068" s="103" t="s">
        <v>99</v>
      </c>
      <c r="D1068" s="103" t="s">
        <v>2102</v>
      </c>
      <c r="E1068" s="103" t="s">
        <v>2103</v>
      </c>
      <c r="F1068" s="103">
        <v>36.114469999999997</v>
      </c>
      <c r="G1068" s="103">
        <v>43.474148533799998</v>
      </c>
      <c r="H1068" s="102">
        <v>205</v>
      </c>
      <c r="I1068" s="102">
        <v>1230</v>
      </c>
      <c r="J1068" s="103"/>
      <c r="K1068" s="103"/>
      <c r="L1068" s="103"/>
      <c r="M1068" s="103">
        <v>205</v>
      </c>
      <c r="N1068" s="103"/>
      <c r="O1068" s="103"/>
      <c r="P1068" s="103"/>
      <c r="Q1068" s="103"/>
      <c r="R1068" s="103"/>
      <c r="S1068" s="103"/>
      <c r="T1068" s="103"/>
      <c r="U1068" s="103"/>
      <c r="V1068" s="103">
        <v>5</v>
      </c>
      <c r="W1068" s="103">
        <v>37</v>
      </c>
      <c r="X1068" s="103"/>
      <c r="Y1068" s="103"/>
      <c r="Z1068" s="103"/>
      <c r="AA1068" s="103">
        <v>43</v>
      </c>
      <c r="AB1068" s="103">
        <v>3</v>
      </c>
      <c r="AC1068" s="103"/>
      <c r="AD1068" s="103">
        <v>4</v>
      </c>
      <c r="AE1068" s="103"/>
      <c r="AF1068" s="103">
        <v>12</v>
      </c>
      <c r="AG1068" s="103">
        <v>90</v>
      </c>
      <c r="AH1068" s="103"/>
      <c r="AI1068" s="103"/>
      <c r="AJ1068" s="103"/>
      <c r="AK1068" s="103"/>
      <c r="AL1068" s="103">
        <v>11</v>
      </c>
      <c r="AM1068" s="103"/>
      <c r="AN1068" s="103"/>
      <c r="AO1068" s="103">
        <v>120</v>
      </c>
      <c r="AP1068" s="103">
        <v>85</v>
      </c>
      <c r="AQ1068" s="103"/>
      <c r="AR1068" s="103"/>
      <c r="AS1068" s="103"/>
      <c r="AT1068" s="103"/>
      <c r="AU1068" s="103"/>
      <c r="AV1068" s="103"/>
      <c r="AW1068" s="104" t="str">
        <f>HYPERLINK("http://www.openstreetmap.org/?mlat=36.1145&amp;mlon=43.4741&amp;zoom=12#map=12/36.1145/43.4741","Maplink1")</f>
        <v>Maplink1</v>
      </c>
      <c r="AX1068" s="104" t="str">
        <f>HYPERLINK("https://www.google.iq/maps/search/+36.1145,43.4741/@36.1145,43.4741,14z?hl=en","Maplink2")</f>
        <v>Maplink2</v>
      </c>
      <c r="AY1068" s="104" t="str">
        <f>HYPERLINK("http://www.bing.com/maps/?lvl=14&amp;sty=h&amp;cp=36.1145~43.4741&amp;sp=point.36.1145_43.4741","Maplink3")</f>
        <v>Maplink3</v>
      </c>
    </row>
    <row r="1069" spans="1:51" x14ac:dyDescent="0.2">
      <c r="A1069" s="102">
        <v>29684</v>
      </c>
      <c r="B1069" s="103" t="s">
        <v>35</v>
      </c>
      <c r="C1069" s="103" t="s">
        <v>99</v>
      </c>
      <c r="D1069" s="103" t="s">
        <v>2104</v>
      </c>
      <c r="E1069" s="103" t="s">
        <v>2105</v>
      </c>
      <c r="F1069" s="103">
        <v>36.014334907200002</v>
      </c>
      <c r="G1069" s="103">
        <v>43.376056594600001</v>
      </c>
      <c r="H1069" s="102">
        <v>216</v>
      </c>
      <c r="I1069" s="102">
        <v>1296</v>
      </c>
      <c r="J1069" s="103"/>
      <c r="K1069" s="103"/>
      <c r="L1069" s="103"/>
      <c r="M1069" s="103">
        <v>216</v>
      </c>
      <c r="N1069" s="103"/>
      <c r="O1069" s="103"/>
      <c r="P1069" s="103"/>
      <c r="Q1069" s="103"/>
      <c r="R1069" s="103"/>
      <c r="S1069" s="103"/>
      <c r="T1069" s="103"/>
      <c r="U1069" s="103"/>
      <c r="V1069" s="103"/>
      <c r="W1069" s="103"/>
      <c r="X1069" s="103"/>
      <c r="Y1069" s="103"/>
      <c r="Z1069" s="103"/>
      <c r="AA1069" s="103"/>
      <c r="AB1069" s="103"/>
      <c r="AC1069" s="103"/>
      <c r="AD1069" s="103"/>
      <c r="AE1069" s="103"/>
      <c r="AF1069" s="103"/>
      <c r="AG1069" s="103">
        <v>216</v>
      </c>
      <c r="AH1069" s="103"/>
      <c r="AI1069" s="103"/>
      <c r="AJ1069" s="103"/>
      <c r="AK1069" s="103"/>
      <c r="AL1069" s="103"/>
      <c r="AM1069" s="103"/>
      <c r="AN1069" s="103"/>
      <c r="AO1069" s="103"/>
      <c r="AP1069" s="103"/>
      <c r="AQ1069" s="103"/>
      <c r="AR1069" s="103"/>
      <c r="AS1069" s="103">
        <v>216</v>
      </c>
      <c r="AT1069" s="103"/>
      <c r="AU1069" s="103"/>
      <c r="AV1069" s="103"/>
      <c r="AW1069" s="104" t="str">
        <f>HYPERLINK("http://www.openstreetmap.org/?mlat=36.0143&amp;mlon=43.3761&amp;zoom=12#map=12/36.0143/43.3761","Maplink1")</f>
        <v>Maplink1</v>
      </c>
      <c r="AX1069" s="104" t="str">
        <f>HYPERLINK("https://www.google.iq/maps/search/+36.0143,43.3761/@36.0143,43.3761,14z?hl=en","Maplink2")</f>
        <v>Maplink2</v>
      </c>
      <c r="AY1069" s="104" t="str">
        <f>HYPERLINK("http://www.bing.com/maps/?lvl=14&amp;sty=h&amp;cp=36.0143~43.3761&amp;sp=point.36.0143_43.3761","Maplink3")</f>
        <v>Maplink3</v>
      </c>
    </row>
    <row r="1070" spans="1:51" x14ac:dyDescent="0.2">
      <c r="A1070" s="102">
        <v>17375</v>
      </c>
      <c r="B1070" s="103" t="s">
        <v>35</v>
      </c>
      <c r="C1070" s="103" t="s">
        <v>99</v>
      </c>
      <c r="D1070" s="103" t="s">
        <v>2064</v>
      </c>
      <c r="E1070" s="103" t="s">
        <v>2065</v>
      </c>
      <c r="F1070" s="103">
        <v>36.214646000000002</v>
      </c>
      <c r="G1070" s="103">
        <v>43.445608275200001</v>
      </c>
      <c r="H1070" s="102">
        <v>260</v>
      </c>
      <c r="I1070" s="102">
        <v>1560</v>
      </c>
      <c r="J1070" s="103"/>
      <c r="K1070" s="103"/>
      <c r="L1070" s="103"/>
      <c r="M1070" s="103">
        <v>260</v>
      </c>
      <c r="N1070" s="103"/>
      <c r="O1070" s="103"/>
      <c r="P1070" s="103"/>
      <c r="Q1070" s="103"/>
      <c r="R1070" s="103"/>
      <c r="S1070" s="103"/>
      <c r="T1070" s="103"/>
      <c r="U1070" s="103"/>
      <c r="V1070" s="103">
        <v>31</v>
      </c>
      <c r="W1070" s="103">
        <v>45</v>
      </c>
      <c r="X1070" s="103"/>
      <c r="Y1070" s="103"/>
      <c r="Z1070" s="103"/>
      <c r="AA1070" s="103">
        <v>98</v>
      </c>
      <c r="AB1070" s="103"/>
      <c r="AC1070" s="103"/>
      <c r="AD1070" s="103"/>
      <c r="AE1070" s="103"/>
      <c r="AF1070" s="103">
        <v>33</v>
      </c>
      <c r="AG1070" s="103">
        <v>22</v>
      </c>
      <c r="AH1070" s="103"/>
      <c r="AI1070" s="103"/>
      <c r="AJ1070" s="103">
        <v>1</v>
      </c>
      <c r="AK1070" s="103">
        <v>10</v>
      </c>
      <c r="AL1070" s="103">
        <v>20</v>
      </c>
      <c r="AM1070" s="103"/>
      <c r="AN1070" s="103"/>
      <c r="AO1070" s="103">
        <v>260</v>
      </c>
      <c r="AP1070" s="103"/>
      <c r="AQ1070" s="103"/>
      <c r="AR1070" s="103"/>
      <c r="AS1070" s="103"/>
      <c r="AT1070" s="103"/>
      <c r="AU1070" s="103"/>
      <c r="AV1070" s="103"/>
      <c r="AW1070" s="104" t="str">
        <f>HYPERLINK("http://www.openstreetmap.org/?mlat=36.2146&amp;mlon=43.4456&amp;zoom=12#map=12/36.2146/43.4456","Maplink1")</f>
        <v>Maplink1</v>
      </c>
      <c r="AX1070" s="104" t="str">
        <f>HYPERLINK("https://www.google.iq/maps/search/+36.2146,43.4456/@36.2146,43.4456,14z?hl=en","Maplink2")</f>
        <v>Maplink2</v>
      </c>
      <c r="AY1070" s="104" t="str">
        <f>HYPERLINK("http://www.bing.com/maps/?lvl=14&amp;sty=h&amp;cp=36.2146~43.4456&amp;sp=point.36.2146_43.4456","Maplink3")</f>
        <v>Maplink3</v>
      </c>
    </row>
    <row r="1071" spans="1:51" x14ac:dyDescent="0.2">
      <c r="A1071" s="102">
        <v>22219</v>
      </c>
      <c r="B1071" s="103" t="s">
        <v>35</v>
      </c>
      <c r="C1071" s="103" t="s">
        <v>99</v>
      </c>
      <c r="D1071" s="103" t="s">
        <v>2066</v>
      </c>
      <c r="E1071" s="103" t="s">
        <v>2067</v>
      </c>
      <c r="F1071" s="103">
        <v>36.349040000000002</v>
      </c>
      <c r="G1071" s="103">
        <v>43.354714562600002</v>
      </c>
      <c r="H1071" s="102">
        <v>610</v>
      </c>
      <c r="I1071" s="102">
        <v>3660</v>
      </c>
      <c r="J1071" s="103"/>
      <c r="K1071" s="103"/>
      <c r="L1071" s="103"/>
      <c r="M1071" s="103">
        <v>610</v>
      </c>
      <c r="N1071" s="103"/>
      <c r="O1071" s="103"/>
      <c r="P1071" s="103"/>
      <c r="Q1071" s="103"/>
      <c r="R1071" s="103"/>
      <c r="S1071" s="103"/>
      <c r="T1071" s="103"/>
      <c r="U1071" s="103"/>
      <c r="V1071" s="103">
        <v>30</v>
      </c>
      <c r="W1071" s="103">
        <v>45</v>
      </c>
      <c r="X1071" s="103"/>
      <c r="Y1071" s="103">
        <v>5</v>
      </c>
      <c r="Z1071" s="103"/>
      <c r="AA1071" s="103">
        <v>195</v>
      </c>
      <c r="AB1071" s="103">
        <v>83</v>
      </c>
      <c r="AC1071" s="103"/>
      <c r="AD1071" s="103">
        <v>25</v>
      </c>
      <c r="AE1071" s="103">
        <v>12</v>
      </c>
      <c r="AF1071" s="103">
        <v>88</v>
      </c>
      <c r="AG1071" s="103">
        <v>2</v>
      </c>
      <c r="AH1071" s="103">
        <v>29</v>
      </c>
      <c r="AI1071" s="103"/>
      <c r="AJ1071" s="103">
        <v>23</v>
      </c>
      <c r="AK1071" s="103">
        <v>15</v>
      </c>
      <c r="AL1071" s="103">
        <v>58</v>
      </c>
      <c r="AM1071" s="103"/>
      <c r="AN1071" s="103"/>
      <c r="AO1071" s="103">
        <v>610</v>
      </c>
      <c r="AP1071" s="103"/>
      <c r="AQ1071" s="103"/>
      <c r="AR1071" s="103"/>
      <c r="AS1071" s="103"/>
      <c r="AT1071" s="103"/>
      <c r="AU1071" s="103"/>
      <c r="AV1071" s="103"/>
      <c r="AW1071" s="104" t="str">
        <f>HYPERLINK("http://www.openstreetmap.org/?mlat=36.349&amp;mlon=43.3547&amp;zoom=12#map=12/36.349/43.3547","Maplink1")</f>
        <v>Maplink1</v>
      </c>
      <c r="AX1071" s="104" t="str">
        <f>HYPERLINK("https://www.google.iq/maps/search/+36.349,43.3547/@36.349,43.3547,14z?hl=en","Maplink2")</f>
        <v>Maplink2</v>
      </c>
      <c r="AY1071" s="104" t="str">
        <f>HYPERLINK("http://www.bing.com/maps/?lvl=14&amp;sty=h&amp;cp=36.349~43.3547&amp;sp=point.36.349_43.3547","Maplink3")</f>
        <v>Maplink3</v>
      </c>
    </row>
    <row r="1072" spans="1:51" x14ac:dyDescent="0.2">
      <c r="A1072" s="102">
        <v>22544</v>
      </c>
      <c r="B1072" s="103" t="s">
        <v>35</v>
      </c>
      <c r="C1072" s="103" t="s">
        <v>99</v>
      </c>
      <c r="D1072" s="103" t="s">
        <v>2068</v>
      </c>
      <c r="E1072" s="103" t="s">
        <v>2069</v>
      </c>
      <c r="F1072" s="103">
        <v>36.218119999999999</v>
      </c>
      <c r="G1072" s="103">
        <v>43.306594906999997</v>
      </c>
      <c r="H1072" s="102">
        <v>35</v>
      </c>
      <c r="I1072" s="102">
        <v>210</v>
      </c>
      <c r="J1072" s="103"/>
      <c r="K1072" s="103"/>
      <c r="L1072" s="103"/>
      <c r="M1072" s="103">
        <v>35</v>
      </c>
      <c r="N1072" s="103"/>
      <c r="O1072" s="103"/>
      <c r="P1072" s="103"/>
      <c r="Q1072" s="103"/>
      <c r="R1072" s="103"/>
      <c r="S1072" s="103"/>
      <c r="T1072" s="103"/>
      <c r="U1072" s="103"/>
      <c r="V1072" s="103"/>
      <c r="W1072" s="103">
        <v>7</v>
      </c>
      <c r="X1072" s="103"/>
      <c r="Y1072" s="103"/>
      <c r="Z1072" s="103"/>
      <c r="AA1072" s="103">
        <v>4</v>
      </c>
      <c r="AB1072" s="103">
        <v>4</v>
      </c>
      <c r="AC1072" s="103"/>
      <c r="AD1072" s="103"/>
      <c r="AE1072" s="103"/>
      <c r="AF1072" s="103">
        <v>12</v>
      </c>
      <c r="AG1072" s="103"/>
      <c r="AH1072" s="103"/>
      <c r="AI1072" s="103"/>
      <c r="AJ1072" s="103"/>
      <c r="AK1072" s="103"/>
      <c r="AL1072" s="103">
        <v>8</v>
      </c>
      <c r="AM1072" s="103"/>
      <c r="AN1072" s="103"/>
      <c r="AO1072" s="103">
        <v>35</v>
      </c>
      <c r="AP1072" s="103"/>
      <c r="AQ1072" s="103"/>
      <c r="AR1072" s="103"/>
      <c r="AS1072" s="103"/>
      <c r="AT1072" s="103"/>
      <c r="AU1072" s="103"/>
      <c r="AV1072" s="103"/>
      <c r="AW1072" s="104" t="str">
        <f>HYPERLINK("http://www.openstreetmap.org/?mlat=36.2181&amp;mlon=43.3066&amp;zoom=12#map=12/36.2181/43.3066","Maplink1")</f>
        <v>Maplink1</v>
      </c>
      <c r="AX1072" s="104" t="str">
        <f>HYPERLINK("https://www.google.iq/maps/search/+36.2181,43.3066/@36.2181,43.3066,14z?hl=en","Maplink2")</f>
        <v>Maplink2</v>
      </c>
      <c r="AY1072" s="104" t="str">
        <f>HYPERLINK("http://www.bing.com/maps/?lvl=14&amp;sty=h&amp;cp=36.2181~43.3066&amp;sp=point.36.2181_43.3066","Maplink3")</f>
        <v>Maplink3</v>
      </c>
    </row>
    <row r="1073" spans="1:51" x14ac:dyDescent="0.2">
      <c r="A1073" s="102">
        <v>32080</v>
      </c>
      <c r="B1073" s="103" t="s">
        <v>35</v>
      </c>
      <c r="C1073" s="103" t="s">
        <v>99</v>
      </c>
      <c r="D1073" s="103" t="s">
        <v>2094</v>
      </c>
      <c r="E1073" s="103" t="s">
        <v>2095</v>
      </c>
      <c r="F1073" s="103">
        <v>36.300451000000002</v>
      </c>
      <c r="G1073" s="103">
        <v>43.474699606400002</v>
      </c>
      <c r="H1073" s="102">
        <v>45</v>
      </c>
      <c r="I1073" s="102">
        <v>270</v>
      </c>
      <c r="J1073" s="103"/>
      <c r="K1073" s="103"/>
      <c r="L1073" s="103"/>
      <c r="M1073" s="103">
        <v>35</v>
      </c>
      <c r="N1073" s="103">
        <v>10</v>
      </c>
      <c r="O1073" s="103"/>
      <c r="P1073" s="103"/>
      <c r="Q1073" s="103"/>
      <c r="R1073" s="103"/>
      <c r="S1073" s="103"/>
      <c r="T1073" s="103"/>
      <c r="U1073" s="103"/>
      <c r="V1073" s="103"/>
      <c r="W1073" s="103"/>
      <c r="X1073" s="103"/>
      <c r="Y1073" s="103"/>
      <c r="Z1073" s="103"/>
      <c r="AA1073" s="103">
        <v>43</v>
      </c>
      <c r="AB1073" s="103"/>
      <c r="AC1073" s="103"/>
      <c r="AD1073" s="103">
        <v>2</v>
      </c>
      <c r="AE1073" s="103"/>
      <c r="AF1073" s="103"/>
      <c r="AG1073" s="103"/>
      <c r="AH1073" s="103"/>
      <c r="AI1073" s="103"/>
      <c r="AJ1073" s="103"/>
      <c r="AK1073" s="103"/>
      <c r="AL1073" s="103"/>
      <c r="AM1073" s="103"/>
      <c r="AN1073" s="103"/>
      <c r="AO1073" s="103">
        <v>45</v>
      </c>
      <c r="AP1073" s="103"/>
      <c r="AQ1073" s="103"/>
      <c r="AR1073" s="103"/>
      <c r="AS1073" s="103"/>
      <c r="AT1073" s="103"/>
      <c r="AU1073" s="103"/>
      <c r="AV1073" s="103"/>
      <c r="AW1073" s="104" t="str">
        <f>HYPERLINK("http://www.openstreetmap.org/?mlat=36.3005&amp;mlon=43.4747&amp;zoom=12#map=12/36.3005/43.4747","Maplink1")</f>
        <v>Maplink1</v>
      </c>
      <c r="AX1073" s="104" t="str">
        <f>HYPERLINK("https://www.google.iq/maps/search/+36.3005,43.4747/@36.3005,43.4747,14z?hl=en","Maplink2")</f>
        <v>Maplink2</v>
      </c>
      <c r="AY1073" s="104" t="str">
        <f>HYPERLINK("http://www.bing.com/maps/?lvl=14&amp;sty=h&amp;cp=36.3005~43.4747&amp;sp=point.36.3005_43.4747","Maplink3")</f>
        <v>Maplink3</v>
      </c>
    </row>
    <row r="1074" spans="1:51" x14ac:dyDescent="0.2">
      <c r="A1074" s="102">
        <v>22232</v>
      </c>
      <c r="B1074" s="103" t="s">
        <v>35</v>
      </c>
      <c r="C1074" s="103" t="s">
        <v>99</v>
      </c>
      <c r="D1074" s="103" t="s">
        <v>2122</v>
      </c>
      <c r="E1074" s="103" t="s">
        <v>2123</v>
      </c>
      <c r="F1074" s="103">
        <v>36.326849000000003</v>
      </c>
      <c r="G1074" s="103">
        <v>43.476902833399997</v>
      </c>
      <c r="H1074" s="102">
        <v>196</v>
      </c>
      <c r="I1074" s="102">
        <v>1176</v>
      </c>
      <c r="J1074" s="103"/>
      <c r="K1074" s="103"/>
      <c r="L1074" s="103"/>
      <c r="M1074" s="103">
        <v>186</v>
      </c>
      <c r="N1074" s="103">
        <v>10</v>
      </c>
      <c r="O1074" s="103"/>
      <c r="P1074" s="103"/>
      <c r="Q1074" s="103"/>
      <c r="R1074" s="103"/>
      <c r="S1074" s="103"/>
      <c r="T1074" s="103"/>
      <c r="U1074" s="103"/>
      <c r="V1074" s="103"/>
      <c r="W1074" s="103"/>
      <c r="X1074" s="103"/>
      <c r="Y1074" s="103"/>
      <c r="Z1074" s="103"/>
      <c r="AA1074" s="103">
        <v>160</v>
      </c>
      <c r="AB1074" s="103"/>
      <c r="AC1074" s="103"/>
      <c r="AD1074" s="103"/>
      <c r="AE1074" s="103"/>
      <c r="AF1074" s="103"/>
      <c r="AG1074" s="103">
        <v>36</v>
      </c>
      <c r="AH1074" s="103"/>
      <c r="AI1074" s="103"/>
      <c r="AJ1074" s="103"/>
      <c r="AK1074" s="103"/>
      <c r="AL1074" s="103"/>
      <c r="AM1074" s="103"/>
      <c r="AN1074" s="103"/>
      <c r="AO1074" s="103">
        <v>177</v>
      </c>
      <c r="AP1074" s="103"/>
      <c r="AQ1074" s="103"/>
      <c r="AR1074" s="103"/>
      <c r="AS1074" s="103">
        <v>19</v>
      </c>
      <c r="AT1074" s="103"/>
      <c r="AU1074" s="103"/>
      <c r="AV1074" s="103"/>
      <c r="AW1074" s="104" t="str">
        <f>HYPERLINK("http://www.openstreetmap.org/?mlat=36.3268&amp;mlon=43.4769&amp;zoom=12#map=12/36.3268/43.4769","Maplink1")</f>
        <v>Maplink1</v>
      </c>
      <c r="AX1074" s="104" t="str">
        <f>HYPERLINK("https://www.google.iq/maps/search/+36.3268,43.4769/@36.3268,43.4769,14z?hl=en","Maplink2")</f>
        <v>Maplink2</v>
      </c>
      <c r="AY1074" s="104" t="str">
        <f>HYPERLINK("http://www.bing.com/maps/?lvl=14&amp;sty=h&amp;cp=36.3268~43.4769&amp;sp=point.36.3268_43.4769","Maplink3")</f>
        <v>Maplink3</v>
      </c>
    </row>
    <row r="1075" spans="1:51" x14ac:dyDescent="0.2">
      <c r="A1075" s="102">
        <v>17376</v>
      </c>
      <c r="B1075" s="103" t="s">
        <v>35</v>
      </c>
      <c r="C1075" s="103" t="s">
        <v>99</v>
      </c>
      <c r="D1075" s="103" t="s">
        <v>2124</v>
      </c>
      <c r="E1075" s="103" t="s">
        <v>2125</v>
      </c>
      <c r="F1075" s="103">
        <v>36.242984999999997</v>
      </c>
      <c r="G1075" s="103">
        <v>43.449059443599999</v>
      </c>
      <c r="H1075" s="102">
        <v>936</v>
      </c>
      <c r="I1075" s="102">
        <v>5616</v>
      </c>
      <c r="J1075" s="103"/>
      <c r="K1075" s="103"/>
      <c r="L1075" s="103"/>
      <c r="M1075" s="103">
        <v>936</v>
      </c>
      <c r="N1075" s="103"/>
      <c r="O1075" s="103"/>
      <c r="P1075" s="103"/>
      <c r="Q1075" s="103"/>
      <c r="R1075" s="103"/>
      <c r="S1075" s="103"/>
      <c r="T1075" s="103"/>
      <c r="U1075" s="103"/>
      <c r="V1075" s="103"/>
      <c r="W1075" s="103">
        <v>49</v>
      </c>
      <c r="X1075" s="103">
        <v>3</v>
      </c>
      <c r="Y1075" s="103">
        <v>1</v>
      </c>
      <c r="Z1075" s="103"/>
      <c r="AA1075" s="103">
        <v>660</v>
      </c>
      <c r="AB1075" s="103">
        <v>25</v>
      </c>
      <c r="AC1075" s="103"/>
      <c r="AD1075" s="103">
        <v>11</v>
      </c>
      <c r="AE1075" s="103"/>
      <c r="AF1075" s="103">
        <v>99</v>
      </c>
      <c r="AG1075" s="103">
        <v>24</v>
      </c>
      <c r="AH1075" s="103">
        <v>24</v>
      </c>
      <c r="AI1075" s="103"/>
      <c r="AJ1075" s="103">
        <v>10</v>
      </c>
      <c r="AK1075" s="103"/>
      <c r="AL1075" s="103">
        <v>30</v>
      </c>
      <c r="AM1075" s="103"/>
      <c r="AN1075" s="103"/>
      <c r="AO1075" s="103">
        <v>936</v>
      </c>
      <c r="AP1075" s="103"/>
      <c r="AQ1075" s="103"/>
      <c r="AR1075" s="103"/>
      <c r="AS1075" s="103"/>
      <c r="AT1075" s="103"/>
      <c r="AU1075" s="103"/>
      <c r="AV1075" s="103"/>
      <c r="AW1075" s="104" t="str">
        <f>HYPERLINK("http://www.openstreetmap.org/?mlat=36.243&amp;mlon=43.4491&amp;zoom=12#map=12/36.243/43.4491","Maplink1")</f>
        <v>Maplink1</v>
      </c>
      <c r="AX1075" s="104" t="str">
        <f>HYPERLINK("https://www.google.iq/maps/search/+36.243,43.4491/@36.243,43.4491,14z?hl=en","Maplink2")</f>
        <v>Maplink2</v>
      </c>
      <c r="AY1075" s="104" t="str">
        <f>HYPERLINK("http://www.bing.com/maps/?lvl=14&amp;sty=h&amp;cp=36.243~43.4491&amp;sp=point.36.243_43.4491","Maplink3")</f>
        <v>Maplink3</v>
      </c>
    </row>
    <row r="1076" spans="1:51" x14ac:dyDescent="0.2">
      <c r="A1076" s="102">
        <v>33529</v>
      </c>
      <c r="B1076" s="103" t="s">
        <v>35</v>
      </c>
      <c r="C1076" s="103" t="s">
        <v>99</v>
      </c>
      <c r="D1076" s="103" t="s">
        <v>2126</v>
      </c>
      <c r="E1076" s="103" t="s">
        <v>2127</v>
      </c>
      <c r="F1076" s="103">
        <v>36.316775</v>
      </c>
      <c r="G1076" s="103">
        <v>43.54166</v>
      </c>
      <c r="H1076" s="102">
        <v>40</v>
      </c>
      <c r="I1076" s="102">
        <v>240</v>
      </c>
      <c r="J1076" s="103"/>
      <c r="K1076" s="103"/>
      <c r="L1076" s="103"/>
      <c r="M1076" s="103">
        <v>40</v>
      </c>
      <c r="N1076" s="103"/>
      <c r="O1076" s="103"/>
      <c r="P1076" s="103"/>
      <c r="Q1076" s="103"/>
      <c r="R1076" s="103"/>
      <c r="S1076" s="103"/>
      <c r="T1076" s="103"/>
      <c r="U1076" s="103"/>
      <c r="V1076" s="103"/>
      <c r="W1076" s="103"/>
      <c r="X1076" s="103"/>
      <c r="Y1076" s="103"/>
      <c r="Z1076" s="103"/>
      <c r="AA1076" s="103">
        <v>30</v>
      </c>
      <c r="AB1076" s="103"/>
      <c r="AC1076" s="103"/>
      <c r="AD1076" s="103"/>
      <c r="AE1076" s="103"/>
      <c r="AF1076" s="103"/>
      <c r="AG1076" s="103">
        <v>10</v>
      </c>
      <c r="AH1076" s="103"/>
      <c r="AI1076" s="103"/>
      <c r="AJ1076" s="103"/>
      <c r="AK1076" s="103"/>
      <c r="AL1076" s="103"/>
      <c r="AM1076" s="103"/>
      <c r="AN1076" s="103"/>
      <c r="AO1076" s="103">
        <v>40</v>
      </c>
      <c r="AP1076" s="103"/>
      <c r="AQ1076" s="103"/>
      <c r="AR1076" s="103"/>
      <c r="AS1076" s="103"/>
      <c r="AT1076" s="103"/>
      <c r="AU1076" s="103"/>
      <c r="AV1076" s="103"/>
      <c r="AW1076" s="104" t="str">
        <f>HYPERLINK("http://www.openstreetmap.org/?mlat=36.3168&amp;mlon=43.5417&amp;zoom=12#map=12/36.3168/43.5417","Maplink1")</f>
        <v>Maplink1</v>
      </c>
      <c r="AX1076" s="104" t="str">
        <f>HYPERLINK("https://www.google.iq/maps/search/+36.3168,43.5417/@36.3168,43.5417,14z?hl=en","Maplink2")</f>
        <v>Maplink2</v>
      </c>
      <c r="AY1076" s="104" t="str">
        <f>HYPERLINK("http://www.bing.com/maps/?lvl=14&amp;sty=h&amp;cp=36.3168~43.5417&amp;sp=point.36.3168_43.5417","Maplink3")</f>
        <v>Maplink3</v>
      </c>
    </row>
    <row r="1077" spans="1:51" x14ac:dyDescent="0.2">
      <c r="A1077" s="102">
        <v>17968</v>
      </c>
      <c r="B1077" s="103" t="s">
        <v>35</v>
      </c>
      <c r="C1077" s="103" t="s">
        <v>99</v>
      </c>
      <c r="D1077" s="103" t="s">
        <v>2106</v>
      </c>
      <c r="E1077" s="103" t="s">
        <v>2107</v>
      </c>
      <c r="F1077" s="103">
        <v>36.193098999999997</v>
      </c>
      <c r="G1077" s="103">
        <v>43.339268872700003</v>
      </c>
      <c r="H1077" s="102">
        <v>560</v>
      </c>
      <c r="I1077" s="102">
        <v>3360</v>
      </c>
      <c r="J1077" s="103"/>
      <c r="K1077" s="103"/>
      <c r="L1077" s="103"/>
      <c r="M1077" s="103">
        <v>560</v>
      </c>
      <c r="N1077" s="103"/>
      <c r="O1077" s="103"/>
      <c r="P1077" s="103"/>
      <c r="Q1077" s="103"/>
      <c r="R1077" s="103"/>
      <c r="S1077" s="103"/>
      <c r="T1077" s="103"/>
      <c r="U1077" s="103"/>
      <c r="V1077" s="103"/>
      <c r="W1077" s="103">
        <v>12</v>
      </c>
      <c r="X1077" s="103"/>
      <c r="Y1077" s="103"/>
      <c r="Z1077" s="103"/>
      <c r="AA1077" s="103">
        <v>312</v>
      </c>
      <c r="AB1077" s="103">
        <v>11</v>
      </c>
      <c r="AC1077" s="103"/>
      <c r="AD1077" s="103">
        <v>12</v>
      </c>
      <c r="AE1077" s="103">
        <v>1</v>
      </c>
      <c r="AF1077" s="103">
        <v>12</v>
      </c>
      <c r="AG1077" s="103">
        <v>171</v>
      </c>
      <c r="AH1077" s="103">
        <v>6</v>
      </c>
      <c r="AI1077" s="103"/>
      <c r="AJ1077" s="103">
        <v>4</v>
      </c>
      <c r="AK1077" s="103">
        <v>1</v>
      </c>
      <c r="AL1077" s="103">
        <v>18</v>
      </c>
      <c r="AM1077" s="103"/>
      <c r="AN1077" s="103"/>
      <c r="AO1077" s="103">
        <v>450</v>
      </c>
      <c r="AP1077" s="103"/>
      <c r="AQ1077" s="103"/>
      <c r="AR1077" s="103"/>
      <c r="AS1077" s="103">
        <v>110</v>
      </c>
      <c r="AT1077" s="103"/>
      <c r="AU1077" s="103"/>
      <c r="AV1077" s="103"/>
      <c r="AW1077" s="104" t="str">
        <f>HYPERLINK("http://www.openstreetmap.org/?mlat=36.1931&amp;mlon=43.3393&amp;zoom=12#map=12/36.1931/43.3393","Maplink1")</f>
        <v>Maplink1</v>
      </c>
      <c r="AX1077" s="104" t="str">
        <f>HYPERLINK("https://www.google.iq/maps/search/+36.1931,43.3393/@36.1931,43.3393,14z?hl=en","Maplink2")</f>
        <v>Maplink2</v>
      </c>
      <c r="AY1077" s="104" t="str">
        <f>HYPERLINK("http://www.bing.com/maps/?lvl=14&amp;sty=h&amp;cp=36.1931~43.3393&amp;sp=point.36.1931_43.3393","Maplink3")</f>
        <v>Maplink3</v>
      </c>
    </row>
    <row r="1078" spans="1:51" x14ac:dyDescent="0.2">
      <c r="A1078" s="102">
        <v>22115</v>
      </c>
      <c r="B1078" s="103" t="s">
        <v>35</v>
      </c>
      <c r="C1078" s="103" t="s">
        <v>99</v>
      </c>
      <c r="D1078" s="103" t="s">
        <v>2108</v>
      </c>
      <c r="E1078" s="103" t="s">
        <v>2109</v>
      </c>
      <c r="F1078" s="103">
        <v>36.269095999999998</v>
      </c>
      <c r="G1078" s="103">
        <v>43.503966125200002</v>
      </c>
      <c r="H1078" s="102">
        <v>120</v>
      </c>
      <c r="I1078" s="102">
        <v>720</v>
      </c>
      <c r="J1078" s="103"/>
      <c r="K1078" s="103"/>
      <c r="L1078" s="103"/>
      <c r="M1078" s="103">
        <v>103</v>
      </c>
      <c r="N1078" s="103">
        <v>17</v>
      </c>
      <c r="O1078" s="103"/>
      <c r="P1078" s="103"/>
      <c r="Q1078" s="103"/>
      <c r="R1078" s="103"/>
      <c r="S1078" s="103"/>
      <c r="T1078" s="103"/>
      <c r="U1078" s="103"/>
      <c r="V1078" s="103"/>
      <c r="W1078" s="103">
        <v>2</v>
      </c>
      <c r="X1078" s="103"/>
      <c r="Y1078" s="103"/>
      <c r="Z1078" s="103"/>
      <c r="AA1078" s="103">
        <v>103</v>
      </c>
      <c r="AB1078" s="103"/>
      <c r="AC1078" s="103"/>
      <c r="AD1078" s="103"/>
      <c r="AE1078" s="103"/>
      <c r="AF1078" s="103"/>
      <c r="AG1078" s="103">
        <v>12</v>
      </c>
      <c r="AH1078" s="103"/>
      <c r="AI1078" s="103"/>
      <c r="AJ1078" s="103"/>
      <c r="AK1078" s="103">
        <v>3</v>
      </c>
      <c r="AL1078" s="103"/>
      <c r="AM1078" s="103"/>
      <c r="AN1078" s="103"/>
      <c r="AO1078" s="103">
        <v>120</v>
      </c>
      <c r="AP1078" s="103"/>
      <c r="AQ1078" s="103"/>
      <c r="AR1078" s="103"/>
      <c r="AS1078" s="103"/>
      <c r="AT1078" s="103"/>
      <c r="AU1078" s="103"/>
      <c r="AV1078" s="103"/>
      <c r="AW1078" s="104" t="str">
        <f>HYPERLINK("http://www.openstreetmap.org/?mlat=36.2691&amp;mlon=43.504&amp;zoom=12#map=12/36.2691/43.504","Maplink1")</f>
        <v>Maplink1</v>
      </c>
      <c r="AX1078" s="104" t="str">
        <f>HYPERLINK("https://www.google.iq/maps/search/+36.2691,43.504/@36.2691,43.504,14z?hl=en","Maplink2")</f>
        <v>Maplink2</v>
      </c>
      <c r="AY1078" s="104" t="str">
        <f>HYPERLINK("http://www.bing.com/maps/?lvl=14&amp;sty=h&amp;cp=36.2691~43.504&amp;sp=point.36.2691_43.504","Maplink3")</f>
        <v>Maplink3</v>
      </c>
    </row>
    <row r="1079" spans="1:51" x14ac:dyDescent="0.2">
      <c r="A1079" s="102">
        <v>17890</v>
      </c>
      <c r="B1079" s="103" t="s">
        <v>35</v>
      </c>
      <c r="C1079" s="103" t="s">
        <v>99</v>
      </c>
      <c r="D1079" s="103" t="s">
        <v>2110</v>
      </c>
      <c r="E1079" s="103" t="s">
        <v>2111</v>
      </c>
      <c r="F1079" s="103">
        <v>36.255704037400001</v>
      </c>
      <c r="G1079" s="103">
        <v>43.191889403700003</v>
      </c>
      <c r="H1079" s="102">
        <v>146</v>
      </c>
      <c r="I1079" s="102">
        <v>876</v>
      </c>
      <c r="J1079" s="103"/>
      <c r="K1079" s="103"/>
      <c r="L1079" s="103"/>
      <c r="M1079" s="103">
        <v>146</v>
      </c>
      <c r="N1079" s="103"/>
      <c r="O1079" s="103"/>
      <c r="P1079" s="103"/>
      <c r="Q1079" s="103"/>
      <c r="R1079" s="103"/>
      <c r="S1079" s="103"/>
      <c r="T1079" s="103"/>
      <c r="U1079" s="103"/>
      <c r="V1079" s="103">
        <v>42</v>
      </c>
      <c r="W1079" s="103">
        <v>33</v>
      </c>
      <c r="X1079" s="103"/>
      <c r="Y1079" s="103">
        <v>1</v>
      </c>
      <c r="Z1079" s="103"/>
      <c r="AA1079" s="103">
        <v>3</v>
      </c>
      <c r="AB1079" s="103">
        <v>4</v>
      </c>
      <c r="AC1079" s="103"/>
      <c r="AD1079" s="103">
        <v>1</v>
      </c>
      <c r="AE1079" s="103">
        <v>4</v>
      </c>
      <c r="AF1079" s="103">
        <v>19</v>
      </c>
      <c r="AG1079" s="103">
        <v>11</v>
      </c>
      <c r="AH1079" s="103">
        <v>3</v>
      </c>
      <c r="AI1079" s="103"/>
      <c r="AJ1079" s="103"/>
      <c r="AK1079" s="103">
        <v>7</v>
      </c>
      <c r="AL1079" s="103">
        <v>18</v>
      </c>
      <c r="AM1079" s="103"/>
      <c r="AN1079" s="103"/>
      <c r="AO1079" s="103">
        <v>146</v>
      </c>
      <c r="AP1079" s="103"/>
      <c r="AQ1079" s="103"/>
      <c r="AR1079" s="103"/>
      <c r="AS1079" s="103"/>
      <c r="AT1079" s="103"/>
      <c r="AU1079" s="103"/>
      <c r="AV1079" s="103"/>
      <c r="AW1079" s="104" t="str">
        <f>HYPERLINK("http://www.openstreetmap.org/?mlat=36.2557&amp;mlon=43.1919&amp;zoom=12#map=12/36.2557/43.1919","Maplink1")</f>
        <v>Maplink1</v>
      </c>
      <c r="AX1079" s="104" t="str">
        <f>HYPERLINK("https://www.google.iq/maps/search/+36.2557,43.1919/@36.2557,43.1919,14z?hl=en","Maplink2")</f>
        <v>Maplink2</v>
      </c>
      <c r="AY1079" s="104" t="str">
        <f>HYPERLINK("http://www.bing.com/maps/?lvl=14&amp;sty=h&amp;cp=36.2557~43.1919&amp;sp=point.36.2557_43.1919","Maplink3")</f>
        <v>Maplink3</v>
      </c>
    </row>
    <row r="1080" spans="1:51" x14ac:dyDescent="0.2">
      <c r="A1080" s="102">
        <v>32079</v>
      </c>
      <c r="B1080" s="103" t="s">
        <v>35</v>
      </c>
      <c r="C1080" s="103" t="s">
        <v>99</v>
      </c>
      <c r="D1080" s="103" t="s">
        <v>2112</v>
      </c>
      <c r="E1080" s="103" t="s">
        <v>2113</v>
      </c>
      <c r="F1080" s="103">
        <v>36.32273</v>
      </c>
      <c r="G1080" s="103">
        <v>43.275204947699997</v>
      </c>
      <c r="H1080" s="102">
        <v>81</v>
      </c>
      <c r="I1080" s="102">
        <v>486</v>
      </c>
      <c r="J1080" s="103"/>
      <c r="K1080" s="103"/>
      <c r="L1080" s="103"/>
      <c r="M1080" s="103">
        <v>81</v>
      </c>
      <c r="N1080" s="103"/>
      <c r="O1080" s="103"/>
      <c r="P1080" s="103"/>
      <c r="Q1080" s="103"/>
      <c r="R1080" s="103"/>
      <c r="S1080" s="103"/>
      <c r="T1080" s="103"/>
      <c r="U1080" s="103"/>
      <c r="V1080" s="103"/>
      <c r="W1080" s="103"/>
      <c r="X1080" s="103"/>
      <c r="Y1080" s="103"/>
      <c r="Z1080" s="103"/>
      <c r="AA1080" s="103">
        <v>79</v>
      </c>
      <c r="AB1080" s="103"/>
      <c r="AC1080" s="103"/>
      <c r="AD1080" s="103"/>
      <c r="AE1080" s="103"/>
      <c r="AF1080" s="103"/>
      <c r="AG1080" s="103">
        <v>2</v>
      </c>
      <c r="AH1080" s="103"/>
      <c r="AI1080" s="103"/>
      <c r="AJ1080" s="103"/>
      <c r="AK1080" s="103"/>
      <c r="AL1080" s="103"/>
      <c r="AM1080" s="103"/>
      <c r="AN1080" s="103"/>
      <c r="AO1080" s="103">
        <v>81</v>
      </c>
      <c r="AP1080" s="103"/>
      <c r="AQ1080" s="103"/>
      <c r="AR1080" s="103"/>
      <c r="AS1080" s="103"/>
      <c r="AT1080" s="103"/>
      <c r="AU1080" s="103"/>
      <c r="AV1080" s="103"/>
      <c r="AW1080" s="104" t="str">
        <f>HYPERLINK("http://www.openstreetmap.org/?mlat=36.3227&amp;mlon=43.2752&amp;zoom=12#map=12/36.3227/43.2752","Maplink1")</f>
        <v>Maplink1</v>
      </c>
      <c r="AX1080" s="104" t="str">
        <f>HYPERLINK("https://www.google.iq/maps/search/+36.3227,43.2752/@36.3227,43.2752,14z?hl=en","Maplink2")</f>
        <v>Maplink2</v>
      </c>
      <c r="AY1080" s="104" t="str">
        <f>HYPERLINK("http://www.bing.com/maps/?lvl=14&amp;sty=h&amp;cp=36.3227~43.2752&amp;sp=point.36.3227_43.2752","Maplink3")</f>
        <v>Maplink3</v>
      </c>
    </row>
    <row r="1081" spans="1:51" x14ac:dyDescent="0.2">
      <c r="A1081" s="102">
        <v>22433</v>
      </c>
      <c r="B1081" s="103" t="s">
        <v>35</v>
      </c>
      <c r="C1081" s="103" t="s">
        <v>99</v>
      </c>
      <c r="D1081" s="103" t="s">
        <v>2114</v>
      </c>
      <c r="E1081" s="103" t="s">
        <v>2115</v>
      </c>
      <c r="F1081" s="103">
        <v>36.060893999999998</v>
      </c>
      <c r="G1081" s="103">
        <v>43.474474999999998</v>
      </c>
      <c r="H1081" s="102">
        <v>58</v>
      </c>
      <c r="I1081" s="102">
        <v>348</v>
      </c>
      <c r="J1081" s="103"/>
      <c r="K1081" s="103"/>
      <c r="L1081" s="103"/>
      <c r="M1081" s="103">
        <v>40</v>
      </c>
      <c r="N1081" s="103">
        <v>18</v>
      </c>
      <c r="O1081" s="103"/>
      <c r="P1081" s="103"/>
      <c r="Q1081" s="103"/>
      <c r="R1081" s="103"/>
      <c r="S1081" s="103"/>
      <c r="T1081" s="103"/>
      <c r="U1081" s="103"/>
      <c r="V1081" s="103"/>
      <c r="W1081" s="103"/>
      <c r="X1081" s="103"/>
      <c r="Y1081" s="103"/>
      <c r="Z1081" s="103"/>
      <c r="AA1081" s="103"/>
      <c r="AB1081" s="103"/>
      <c r="AC1081" s="103"/>
      <c r="AD1081" s="103"/>
      <c r="AE1081" s="103"/>
      <c r="AF1081" s="103"/>
      <c r="AG1081" s="103">
        <v>58</v>
      </c>
      <c r="AH1081" s="103"/>
      <c r="AI1081" s="103"/>
      <c r="AJ1081" s="103"/>
      <c r="AK1081" s="103"/>
      <c r="AL1081" s="103"/>
      <c r="AM1081" s="103"/>
      <c r="AN1081" s="103"/>
      <c r="AO1081" s="103">
        <v>58</v>
      </c>
      <c r="AP1081" s="103"/>
      <c r="AQ1081" s="103"/>
      <c r="AR1081" s="103"/>
      <c r="AS1081" s="103"/>
      <c r="AT1081" s="103"/>
      <c r="AU1081" s="103"/>
      <c r="AV1081" s="103"/>
      <c r="AW1081" s="104" t="str">
        <f>HYPERLINK("http://www.openstreetmap.org/?mlat=36.0609&amp;mlon=43.4745&amp;zoom=12#map=12/36.0609/43.4745","Maplink1")</f>
        <v>Maplink1</v>
      </c>
      <c r="AX1081" s="104" t="str">
        <f>HYPERLINK("https://www.google.iq/maps/search/+36.0609,43.4745/@36.0609,43.4745,14z?hl=en","Maplink2")</f>
        <v>Maplink2</v>
      </c>
      <c r="AY1081" s="104" t="str">
        <f>HYPERLINK("http://www.bing.com/maps/?lvl=14&amp;sty=h&amp;cp=36.0609~43.4745&amp;sp=point.36.0609_43.4745","Maplink3")</f>
        <v>Maplink3</v>
      </c>
    </row>
    <row r="1082" spans="1:51" x14ac:dyDescent="0.2">
      <c r="A1082" s="102">
        <v>23699</v>
      </c>
      <c r="B1082" s="103" t="s">
        <v>35</v>
      </c>
      <c r="C1082" s="103" t="s">
        <v>99</v>
      </c>
      <c r="D1082" s="103" t="s">
        <v>2128</v>
      </c>
      <c r="E1082" s="103" t="s">
        <v>2129</v>
      </c>
      <c r="F1082" s="103">
        <v>36.363317000000002</v>
      </c>
      <c r="G1082" s="103">
        <v>43.3596045416</v>
      </c>
      <c r="H1082" s="102">
        <v>1500</v>
      </c>
      <c r="I1082" s="102">
        <v>9000</v>
      </c>
      <c r="J1082" s="103"/>
      <c r="K1082" s="103"/>
      <c r="L1082" s="103"/>
      <c r="M1082" s="103">
        <v>1500</v>
      </c>
      <c r="N1082" s="103"/>
      <c r="O1082" s="103"/>
      <c r="P1082" s="103"/>
      <c r="Q1082" s="103"/>
      <c r="R1082" s="103"/>
      <c r="S1082" s="103"/>
      <c r="T1082" s="103"/>
      <c r="U1082" s="103"/>
      <c r="V1082" s="103">
        <v>84</v>
      </c>
      <c r="W1082" s="103">
        <v>106</v>
      </c>
      <c r="X1082" s="103">
        <v>47</v>
      </c>
      <c r="Y1082" s="103">
        <v>61</v>
      </c>
      <c r="Z1082" s="103">
        <v>1</v>
      </c>
      <c r="AA1082" s="103">
        <v>321</v>
      </c>
      <c r="AB1082" s="103">
        <v>183</v>
      </c>
      <c r="AC1082" s="103">
        <v>5</v>
      </c>
      <c r="AD1082" s="103">
        <v>35</v>
      </c>
      <c r="AE1082" s="103">
        <v>86</v>
      </c>
      <c r="AF1082" s="103">
        <v>124</v>
      </c>
      <c r="AG1082" s="103">
        <v>163</v>
      </c>
      <c r="AH1082" s="103">
        <v>77</v>
      </c>
      <c r="AI1082" s="103"/>
      <c r="AJ1082" s="103">
        <v>53</v>
      </c>
      <c r="AK1082" s="103">
        <v>84</v>
      </c>
      <c r="AL1082" s="103">
        <v>70</v>
      </c>
      <c r="AM1082" s="103"/>
      <c r="AN1082" s="103"/>
      <c r="AO1082" s="103">
        <v>1500</v>
      </c>
      <c r="AP1082" s="103"/>
      <c r="AQ1082" s="103"/>
      <c r="AR1082" s="103"/>
      <c r="AS1082" s="103"/>
      <c r="AT1082" s="103"/>
      <c r="AU1082" s="103"/>
      <c r="AV1082" s="103"/>
      <c r="AW1082" s="104" t="str">
        <f>HYPERLINK("http://www.openstreetmap.org/?mlat=36.3633&amp;mlon=43.3596&amp;zoom=12#map=12/36.3633/43.3596","Maplink1")</f>
        <v>Maplink1</v>
      </c>
      <c r="AX1082" s="104" t="str">
        <f>HYPERLINK("https://www.google.iq/maps/search/+36.3633,43.3596/@36.3633,43.3596,14z?hl=en","Maplink2")</f>
        <v>Maplink2</v>
      </c>
      <c r="AY1082" s="104" t="str">
        <f>HYPERLINK("http://www.bing.com/maps/?lvl=14&amp;sty=h&amp;cp=36.3633~43.3596&amp;sp=point.36.3633_43.3596","Maplink3")</f>
        <v>Maplink3</v>
      </c>
    </row>
    <row r="1083" spans="1:51" x14ac:dyDescent="0.2">
      <c r="A1083" s="102">
        <v>18371</v>
      </c>
      <c r="B1083" s="103" t="s">
        <v>35</v>
      </c>
      <c r="C1083" s="103" t="s">
        <v>99</v>
      </c>
      <c r="D1083" s="103" t="s">
        <v>2130</v>
      </c>
      <c r="E1083" s="103" t="s">
        <v>2131</v>
      </c>
      <c r="F1083" s="103">
        <v>36.273200000000003</v>
      </c>
      <c r="G1083" s="103">
        <v>43.379808283499997</v>
      </c>
      <c r="H1083" s="102">
        <v>5400</v>
      </c>
      <c r="I1083" s="102">
        <v>32400</v>
      </c>
      <c r="J1083" s="103"/>
      <c r="K1083" s="103"/>
      <c r="L1083" s="103"/>
      <c r="M1083" s="103">
        <v>5400</v>
      </c>
      <c r="N1083" s="103"/>
      <c r="O1083" s="103"/>
      <c r="P1083" s="103"/>
      <c r="Q1083" s="103"/>
      <c r="R1083" s="103"/>
      <c r="S1083" s="103"/>
      <c r="T1083" s="103"/>
      <c r="U1083" s="103"/>
      <c r="V1083" s="103">
        <v>23</v>
      </c>
      <c r="W1083" s="103">
        <v>25</v>
      </c>
      <c r="X1083" s="103">
        <v>4</v>
      </c>
      <c r="Y1083" s="103">
        <v>299</v>
      </c>
      <c r="Z1083" s="103"/>
      <c r="AA1083" s="103">
        <v>4808</v>
      </c>
      <c r="AB1083" s="103">
        <v>10</v>
      </c>
      <c r="AC1083" s="103">
        <v>1</v>
      </c>
      <c r="AD1083" s="103">
        <v>2</v>
      </c>
      <c r="AE1083" s="103">
        <v>2</v>
      </c>
      <c r="AF1083" s="103">
        <v>47</v>
      </c>
      <c r="AG1083" s="103">
        <v>35</v>
      </c>
      <c r="AH1083" s="103">
        <v>3</v>
      </c>
      <c r="AI1083" s="103"/>
      <c r="AJ1083" s="103">
        <v>94</v>
      </c>
      <c r="AK1083" s="103"/>
      <c r="AL1083" s="103">
        <v>47</v>
      </c>
      <c r="AM1083" s="103"/>
      <c r="AN1083" s="103"/>
      <c r="AO1083" s="103">
        <v>5400</v>
      </c>
      <c r="AP1083" s="103"/>
      <c r="AQ1083" s="103"/>
      <c r="AR1083" s="103"/>
      <c r="AS1083" s="103"/>
      <c r="AT1083" s="103"/>
      <c r="AU1083" s="103"/>
      <c r="AV1083" s="103"/>
      <c r="AW1083" s="104" t="str">
        <f>HYPERLINK("http://www.openstreetmap.org/?mlat=36.2732&amp;mlon=43.3798&amp;zoom=12#map=12/36.2732/43.3798","Maplink1")</f>
        <v>Maplink1</v>
      </c>
      <c r="AX1083" s="104" t="str">
        <f>HYPERLINK("https://www.google.iq/maps/search/+36.2732,43.3798/@36.2732,43.3798,14z?hl=en","Maplink2")</f>
        <v>Maplink2</v>
      </c>
      <c r="AY1083" s="104" t="str">
        <f>HYPERLINK("http://www.bing.com/maps/?lvl=14&amp;sty=h&amp;cp=36.2732~43.3798&amp;sp=point.36.2732_43.3798","Maplink3")</f>
        <v>Maplink3</v>
      </c>
    </row>
    <row r="1084" spans="1:51" x14ac:dyDescent="0.2">
      <c r="A1084" s="102">
        <v>29612</v>
      </c>
      <c r="B1084" s="103" t="s">
        <v>35</v>
      </c>
      <c r="C1084" s="103" t="s">
        <v>99</v>
      </c>
      <c r="D1084" s="103" t="s">
        <v>2070</v>
      </c>
      <c r="E1084" s="103" t="s">
        <v>2071</v>
      </c>
      <c r="F1084" s="103">
        <v>36.192743999999998</v>
      </c>
      <c r="G1084" s="103">
        <v>43.557267262899998</v>
      </c>
      <c r="H1084" s="102">
        <v>161</v>
      </c>
      <c r="I1084" s="102">
        <v>966</v>
      </c>
      <c r="J1084" s="103"/>
      <c r="K1084" s="103"/>
      <c r="L1084" s="103"/>
      <c r="M1084" s="103">
        <v>161</v>
      </c>
      <c r="N1084" s="103"/>
      <c r="O1084" s="103"/>
      <c r="P1084" s="103"/>
      <c r="Q1084" s="103"/>
      <c r="R1084" s="103"/>
      <c r="S1084" s="103"/>
      <c r="T1084" s="103"/>
      <c r="U1084" s="103"/>
      <c r="V1084" s="103"/>
      <c r="W1084" s="103"/>
      <c r="X1084" s="103"/>
      <c r="Y1084" s="103">
        <v>30</v>
      </c>
      <c r="Z1084" s="103"/>
      <c r="AA1084" s="103">
        <v>123</v>
      </c>
      <c r="AB1084" s="103"/>
      <c r="AC1084" s="103">
        <v>7</v>
      </c>
      <c r="AD1084" s="103"/>
      <c r="AE1084" s="103"/>
      <c r="AF1084" s="103"/>
      <c r="AG1084" s="103">
        <v>1</v>
      </c>
      <c r="AH1084" s="103"/>
      <c r="AI1084" s="103"/>
      <c r="AJ1084" s="103"/>
      <c r="AK1084" s="103"/>
      <c r="AL1084" s="103"/>
      <c r="AM1084" s="103"/>
      <c r="AN1084" s="103"/>
      <c r="AO1084" s="103">
        <v>161</v>
      </c>
      <c r="AP1084" s="103"/>
      <c r="AQ1084" s="103"/>
      <c r="AR1084" s="103"/>
      <c r="AS1084" s="103"/>
      <c r="AT1084" s="103"/>
      <c r="AU1084" s="103"/>
      <c r="AV1084" s="103"/>
      <c r="AW1084" s="104" t="str">
        <f>HYPERLINK("http://www.openstreetmap.org/?mlat=36.1927&amp;mlon=43.5573&amp;zoom=12#map=12/36.1927/43.5573","Maplink1")</f>
        <v>Maplink1</v>
      </c>
      <c r="AX1084" s="104" t="str">
        <f>HYPERLINK("https://www.google.iq/maps/search/+36.1927,43.5573/@36.1927,43.5573,14z?hl=en","Maplink2")</f>
        <v>Maplink2</v>
      </c>
      <c r="AY1084" s="104" t="str">
        <f>HYPERLINK("http://www.bing.com/maps/?lvl=14&amp;sty=h&amp;cp=36.1927~43.5573&amp;sp=point.36.1927_43.5573","Maplink3")</f>
        <v>Maplink3</v>
      </c>
    </row>
    <row r="1085" spans="1:51" x14ac:dyDescent="0.2">
      <c r="A1085" s="102">
        <v>34033</v>
      </c>
      <c r="B1085" s="103" t="s">
        <v>35</v>
      </c>
      <c r="C1085" s="103" t="s">
        <v>99</v>
      </c>
      <c r="D1085" s="103" t="s">
        <v>2072</v>
      </c>
      <c r="E1085" s="103" t="s">
        <v>2073</v>
      </c>
      <c r="F1085" s="103">
        <v>36.338988999999998</v>
      </c>
      <c r="G1085" s="103">
        <v>43.540891000000002</v>
      </c>
      <c r="H1085" s="102">
        <v>25</v>
      </c>
      <c r="I1085" s="102">
        <v>150</v>
      </c>
      <c r="J1085" s="103"/>
      <c r="K1085" s="103"/>
      <c r="L1085" s="103"/>
      <c r="M1085" s="103">
        <v>25</v>
      </c>
      <c r="N1085" s="103"/>
      <c r="O1085" s="103"/>
      <c r="P1085" s="103"/>
      <c r="Q1085" s="103"/>
      <c r="R1085" s="103"/>
      <c r="S1085" s="103"/>
      <c r="T1085" s="103"/>
      <c r="U1085" s="103"/>
      <c r="V1085" s="103"/>
      <c r="W1085" s="103"/>
      <c r="X1085" s="103"/>
      <c r="Y1085" s="103"/>
      <c r="Z1085" s="103"/>
      <c r="AA1085" s="103"/>
      <c r="AB1085" s="103"/>
      <c r="AC1085" s="103"/>
      <c r="AD1085" s="103"/>
      <c r="AE1085" s="103"/>
      <c r="AF1085" s="103"/>
      <c r="AG1085" s="103">
        <v>25</v>
      </c>
      <c r="AH1085" s="103"/>
      <c r="AI1085" s="103"/>
      <c r="AJ1085" s="103"/>
      <c r="AK1085" s="103"/>
      <c r="AL1085" s="103"/>
      <c r="AM1085" s="103"/>
      <c r="AN1085" s="103"/>
      <c r="AO1085" s="103">
        <v>25</v>
      </c>
      <c r="AP1085" s="103"/>
      <c r="AQ1085" s="103"/>
      <c r="AR1085" s="103"/>
      <c r="AS1085" s="103"/>
      <c r="AT1085" s="103"/>
      <c r="AU1085" s="103"/>
      <c r="AV1085" s="103"/>
      <c r="AW1085" s="104" t="str">
        <f>HYPERLINK("http://www.openstreetmap.org/?mlat=36.339&amp;mlon=43.5409&amp;zoom=12#map=12/36.339/43.5409","Maplink1")</f>
        <v>Maplink1</v>
      </c>
      <c r="AX1085" s="104" t="str">
        <f>HYPERLINK("https://www.google.iq/maps/search/+36.339,43.5409/@36.339,43.5409,14z?hl=en","Maplink2")</f>
        <v>Maplink2</v>
      </c>
      <c r="AY1085" s="104" t="str">
        <f>HYPERLINK("http://www.bing.com/maps/?lvl=14&amp;sty=h&amp;cp=36.339~43.5409&amp;sp=point.36.339_43.5409","Maplink3")</f>
        <v>Maplink3</v>
      </c>
    </row>
    <row r="1086" spans="1:51" x14ac:dyDescent="0.2">
      <c r="A1086" s="102">
        <v>17974</v>
      </c>
      <c r="B1086" s="103" t="s">
        <v>35</v>
      </c>
      <c r="C1086" s="103" t="s">
        <v>99</v>
      </c>
      <c r="D1086" s="103" t="s">
        <v>2080</v>
      </c>
      <c r="E1086" s="103" t="s">
        <v>2081</v>
      </c>
      <c r="F1086" s="103">
        <v>36.080739999999999</v>
      </c>
      <c r="G1086" s="103">
        <v>43.482187000000003</v>
      </c>
      <c r="H1086" s="102">
        <v>50</v>
      </c>
      <c r="I1086" s="102">
        <v>300</v>
      </c>
      <c r="J1086" s="103"/>
      <c r="K1086" s="103"/>
      <c r="L1086" s="103"/>
      <c r="M1086" s="103">
        <v>35</v>
      </c>
      <c r="N1086" s="103">
        <v>15</v>
      </c>
      <c r="O1086" s="103"/>
      <c r="P1086" s="103"/>
      <c r="Q1086" s="103"/>
      <c r="R1086" s="103"/>
      <c r="S1086" s="103"/>
      <c r="T1086" s="103"/>
      <c r="U1086" s="103"/>
      <c r="V1086" s="103"/>
      <c r="W1086" s="103"/>
      <c r="X1086" s="103"/>
      <c r="Y1086" s="103"/>
      <c r="Z1086" s="103"/>
      <c r="AA1086" s="103"/>
      <c r="AB1086" s="103"/>
      <c r="AC1086" s="103"/>
      <c r="AD1086" s="103"/>
      <c r="AE1086" s="103"/>
      <c r="AF1086" s="103"/>
      <c r="AG1086" s="103">
        <v>50</v>
      </c>
      <c r="AH1086" s="103"/>
      <c r="AI1086" s="103"/>
      <c r="AJ1086" s="103"/>
      <c r="AK1086" s="103"/>
      <c r="AL1086" s="103"/>
      <c r="AM1086" s="103"/>
      <c r="AN1086" s="103"/>
      <c r="AO1086" s="103">
        <v>50</v>
      </c>
      <c r="AP1086" s="103"/>
      <c r="AQ1086" s="103"/>
      <c r="AR1086" s="103"/>
      <c r="AS1086" s="103"/>
      <c r="AT1086" s="103"/>
      <c r="AU1086" s="103"/>
      <c r="AV1086" s="103"/>
      <c r="AW1086" s="104" t="str">
        <f>HYPERLINK("http://www.openstreetmap.org/?mlat=36.0807&amp;mlon=43.4822&amp;zoom=12#map=12/36.0807/43.4822","Maplink1")</f>
        <v>Maplink1</v>
      </c>
      <c r="AX1086" s="104" t="str">
        <f>HYPERLINK("https://www.google.iq/maps/search/+36.0807,43.4822/@36.0807,43.4822,14z?hl=en","Maplink2")</f>
        <v>Maplink2</v>
      </c>
      <c r="AY1086" s="104" t="str">
        <f>HYPERLINK("http://www.bing.com/maps/?lvl=14&amp;sty=h&amp;cp=36.0807~43.4822&amp;sp=point.36.0807_43.4822","Maplink3")</f>
        <v>Maplink3</v>
      </c>
    </row>
    <row r="1087" spans="1:51" x14ac:dyDescent="0.2">
      <c r="A1087" s="102">
        <v>17930</v>
      </c>
      <c r="B1087" s="103" t="s">
        <v>35</v>
      </c>
      <c r="C1087" s="103" t="s">
        <v>99</v>
      </c>
      <c r="D1087" s="103" t="s">
        <v>2132</v>
      </c>
      <c r="E1087" s="103" t="s">
        <v>2133</v>
      </c>
      <c r="F1087" s="103">
        <v>36.343992999999998</v>
      </c>
      <c r="G1087" s="103">
        <v>43.3264564029</v>
      </c>
      <c r="H1087" s="102">
        <v>774</v>
      </c>
      <c r="I1087" s="102">
        <v>4644</v>
      </c>
      <c r="J1087" s="103"/>
      <c r="K1087" s="103"/>
      <c r="L1087" s="103"/>
      <c r="M1087" s="103">
        <v>774</v>
      </c>
      <c r="N1087" s="103"/>
      <c r="O1087" s="103"/>
      <c r="P1087" s="103"/>
      <c r="Q1087" s="103"/>
      <c r="R1087" s="103"/>
      <c r="S1087" s="103"/>
      <c r="T1087" s="103"/>
      <c r="U1087" s="103"/>
      <c r="V1087" s="103">
        <v>10</v>
      </c>
      <c r="W1087" s="103">
        <v>11</v>
      </c>
      <c r="X1087" s="103">
        <v>2</v>
      </c>
      <c r="Y1087" s="103">
        <v>10</v>
      </c>
      <c r="Z1087" s="103"/>
      <c r="AA1087" s="103">
        <v>550</v>
      </c>
      <c r="AB1087" s="103">
        <v>21</v>
      </c>
      <c r="AC1087" s="103"/>
      <c r="AD1087" s="103">
        <v>20</v>
      </c>
      <c r="AE1087" s="103">
        <v>8</v>
      </c>
      <c r="AF1087" s="103">
        <v>65</v>
      </c>
      <c r="AG1087" s="103">
        <v>14</v>
      </c>
      <c r="AH1087" s="103">
        <v>27</v>
      </c>
      <c r="AI1087" s="103"/>
      <c r="AJ1087" s="103">
        <v>6</v>
      </c>
      <c r="AK1087" s="103">
        <v>1</v>
      </c>
      <c r="AL1087" s="103">
        <v>29</v>
      </c>
      <c r="AM1087" s="103"/>
      <c r="AN1087" s="103"/>
      <c r="AO1087" s="103">
        <v>774</v>
      </c>
      <c r="AP1087" s="103"/>
      <c r="AQ1087" s="103"/>
      <c r="AR1087" s="103"/>
      <c r="AS1087" s="103"/>
      <c r="AT1087" s="103"/>
      <c r="AU1087" s="103"/>
      <c r="AV1087" s="103"/>
      <c r="AW1087" s="104" t="str">
        <f>HYPERLINK("http://www.openstreetmap.org/?mlat=36.344&amp;mlon=43.3265&amp;zoom=12#map=12/36.344/43.3265","Maplink1")</f>
        <v>Maplink1</v>
      </c>
      <c r="AX1087" s="104" t="str">
        <f>HYPERLINK("https://www.google.iq/maps/search/+36.344,43.3265/@36.344,43.3265,14z?hl=en","Maplink2")</f>
        <v>Maplink2</v>
      </c>
      <c r="AY1087" s="104" t="str">
        <f>HYPERLINK("http://www.bing.com/maps/?lvl=14&amp;sty=h&amp;cp=36.344~43.3265&amp;sp=point.36.344_43.3265","Maplink3")</f>
        <v>Maplink3</v>
      </c>
    </row>
    <row r="1088" spans="1:51" x14ac:dyDescent="0.2">
      <c r="A1088" s="102">
        <v>18267</v>
      </c>
      <c r="B1088" s="103" t="s">
        <v>35</v>
      </c>
      <c r="C1088" s="103" t="s">
        <v>100</v>
      </c>
      <c r="D1088" s="103" t="s">
        <v>2146</v>
      </c>
      <c r="E1088" s="103" t="s">
        <v>2147</v>
      </c>
      <c r="F1088" s="103">
        <v>36.585999000000001</v>
      </c>
      <c r="G1088" s="103">
        <v>43.301337483200001</v>
      </c>
      <c r="H1088" s="102">
        <v>6</v>
      </c>
      <c r="I1088" s="102">
        <v>36</v>
      </c>
      <c r="J1088" s="103"/>
      <c r="K1088" s="103"/>
      <c r="L1088" s="103"/>
      <c r="M1088" s="103">
        <v>6</v>
      </c>
      <c r="N1088" s="103"/>
      <c r="O1088" s="103"/>
      <c r="P1088" s="103"/>
      <c r="Q1088" s="103"/>
      <c r="R1088" s="103"/>
      <c r="S1088" s="103"/>
      <c r="T1088" s="103"/>
      <c r="U1088" s="103"/>
      <c r="V1088" s="103"/>
      <c r="W1088" s="103"/>
      <c r="X1088" s="103"/>
      <c r="Y1088" s="103"/>
      <c r="Z1088" s="103"/>
      <c r="AA1088" s="103"/>
      <c r="AB1088" s="103"/>
      <c r="AC1088" s="103"/>
      <c r="AD1088" s="103"/>
      <c r="AE1088" s="103"/>
      <c r="AF1088" s="103"/>
      <c r="AG1088" s="103">
        <v>6</v>
      </c>
      <c r="AH1088" s="103"/>
      <c r="AI1088" s="103"/>
      <c r="AJ1088" s="103"/>
      <c r="AK1088" s="103"/>
      <c r="AL1088" s="103"/>
      <c r="AM1088" s="103"/>
      <c r="AN1088" s="103"/>
      <c r="AO1088" s="103">
        <v>6</v>
      </c>
      <c r="AP1088" s="103"/>
      <c r="AQ1088" s="103"/>
      <c r="AR1088" s="103"/>
      <c r="AS1088" s="103"/>
      <c r="AT1088" s="103"/>
      <c r="AU1088" s="103"/>
      <c r="AV1088" s="103"/>
      <c r="AW1088" s="104" t="str">
        <f>HYPERLINK("http://www.openstreetmap.org/?mlat=36.586&amp;mlon=43.3013&amp;zoom=12#map=12/36.586/43.3013","Maplink1")</f>
        <v>Maplink1</v>
      </c>
      <c r="AX1088" s="104" t="str">
        <f>HYPERLINK("https://www.google.iq/maps/search/+36.586,43.3013/@36.586,43.3013,14z?hl=en","Maplink2")</f>
        <v>Maplink2</v>
      </c>
      <c r="AY1088" s="104" t="str">
        <f>HYPERLINK("http://www.bing.com/maps/?lvl=14&amp;sty=h&amp;cp=36.586~43.3013&amp;sp=point.36.586_43.3013","Maplink3")</f>
        <v>Maplink3</v>
      </c>
    </row>
    <row r="1089" spans="1:51" x14ac:dyDescent="0.2">
      <c r="A1089" s="102">
        <v>21648</v>
      </c>
      <c r="B1089" s="103" t="s">
        <v>35</v>
      </c>
      <c r="C1089" s="103" t="s">
        <v>100</v>
      </c>
      <c r="D1089" s="103" t="s">
        <v>2136</v>
      </c>
      <c r="E1089" s="103" t="s">
        <v>2137</v>
      </c>
      <c r="F1089" s="103">
        <v>36.573487999999998</v>
      </c>
      <c r="G1089" s="103">
        <v>43.303656212200003</v>
      </c>
      <c r="H1089" s="102">
        <v>25</v>
      </c>
      <c r="I1089" s="102">
        <v>150</v>
      </c>
      <c r="J1089" s="103"/>
      <c r="K1089" s="103"/>
      <c r="L1089" s="103"/>
      <c r="M1089" s="103">
        <v>25</v>
      </c>
      <c r="N1089" s="103"/>
      <c r="O1089" s="103"/>
      <c r="P1089" s="103"/>
      <c r="Q1089" s="103"/>
      <c r="R1089" s="103"/>
      <c r="S1089" s="103"/>
      <c r="T1089" s="103"/>
      <c r="U1089" s="103"/>
      <c r="V1089" s="103"/>
      <c r="W1089" s="103"/>
      <c r="X1089" s="103"/>
      <c r="Y1089" s="103"/>
      <c r="Z1089" s="103"/>
      <c r="AA1089" s="103"/>
      <c r="AB1089" s="103"/>
      <c r="AC1089" s="103"/>
      <c r="AD1089" s="103"/>
      <c r="AE1089" s="103"/>
      <c r="AF1089" s="103"/>
      <c r="AG1089" s="103">
        <v>25</v>
      </c>
      <c r="AH1089" s="103"/>
      <c r="AI1089" s="103"/>
      <c r="AJ1089" s="103"/>
      <c r="AK1089" s="103"/>
      <c r="AL1089" s="103"/>
      <c r="AM1089" s="103"/>
      <c r="AN1089" s="103"/>
      <c r="AO1089" s="103">
        <v>25</v>
      </c>
      <c r="AP1089" s="103"/>
      <c r="AQ1089" s="103"/>
      <c r="AR1089" s="103"/>
      <c r="AS1089" s="103"/>
      <c r="AT1089" s="103"/>
      <c r="AU1089" s="103"/>
      <c r="AV1089" s="103"/>
      <c r="AW1089" s="104" t="str">
        <f>HYPERLINK("http://www.openstreetmap.org/?mlat=36.5735&amp;mlon=43.3037&amp;zoom=12#map=12/36.5735/43.3037","Maplink1")</f>
        <v>Maplink1</v>
      </c>
      <c r="AX1089" s="104" t="str">
        <f>HYPERLINK("https://www.google.iq/maps/search/+36.5735,43.3037/@36.5735,43.3037,14z?hl=en","Maplink2")</f>
        <v>Maplink2</v>
      </c>
      <c r="AY1089" s="104" t="str">
        <f>HYPERLINK("http://www.bing.com/maps/?lvl=14&amp;sty=h&amp;cp=36.5735~43.3037&amp;sp=point.36.5735_43.3037","Maplink3")</f>
        <v>Maplink3</v>
      </c>
    </row>
    <row r="1090" spans="1:51" x14ac:dyDescent="0.2">
      <c r="A1090" s="102">
        <v>17875</v>
      </c>
      <c r="B1090" s="103" t="s">
        <v>35</v>
      </c>
      <c r="C1090" s="103" t="s">
        <v>100</v>
      </c>
      <c r="D1090" s="103" t="s">
        <v>2138</v>
      </c>
      <c r="E1090" s="103" t="s">
        <v>2139</v>
      </c>
      <c r="F1090" s="103">
        <v>36.602573</v>
      </c>
      <c r="G1090" s="103">
        <v>43.278930449000001</v>
      </c>
      <c r="H1090" s="102">
        <v>46</v>
      </c>
      <c r="I1090" s="102">
        <v>276</v>
      </c>
      <c r="J1090" s="103"/>
      <c r="K1090" s="103"/>
      <c r="L1090" s="103"/>
      <c r="M1090" s="103">
        <v>46</v>
      </c>
      <c r="N1090" s="103"/>
      <c r="O1090" s="103"/>
      <c r="P1090" s="103"/>
      <c r="Q1090" s="103"/>
      <c r="R1090" s="103"/>
      <c r="S1090" s="103"/>
      <c r="T1090" s="103"/>
      <c r="U1090" s="103"/>
      <c r="V1090" s="103"/>
      <c r="W1090" s="103"/>
      <c r="X1090" s="103"/>
      <c r="Y1090" s="103"/>
      <c r="Z1090" s="103"/>
      <c r="AA1090" s="103"/>
      <c r="AB1090" s="103"/>
      <c r="AC1090" s="103">
        <v>1</v>
      </c>
      <c r="AD1090" s="103"/>
      <c r="AE1090" s="103"/>
      <c r="AF1090" s="103"/>
      <c r="AG1090" s="103">
        <v>45</v>
      </c>
      <c r="AH1090" s="103"/>
      <c r="AI1090" s="103"/>
      <c r="AJ1090" s="103"/>
      <c r="AK1090" s="103"/>
      <c r="AL1090" s="103"/>
      <c r="AM1090" s="103"/>
      <c r="AN1090" s="103"/>
      <c r="AO1090" s="103">
        <v>46</v>
      </c>
      <c r="AP1090" s="103"/>
      <c r="AQ1090" s="103"/>
      <c r="AR1090" s="103"/>
      <c r="AS1090" s="103"/>
      <c r="AT1090" s="103"/>
      <c r="AU1090" s="103"/>
      <c r="AV1090" s="103"/>
      <c r="AW1090" s="104" t="str">
        <f>HYPERLINK("http://www.openstreetmap.org/?mlat=36.6026&amp;mlon=43.2789&amp;zoom=12#map=12/36.6026/43.2789","Maplink1")</f>
        <v>Maplink1</v>
      </c>
      <c r="AX1090" s="104" t="str">
        <f>HYPERLINK("https://www.google.iq/maps/search/+36.6026,43.2789/@36.6026,43.2789,14z?hl=en","Maplink2")</f>
        <v>Maplink2</v>
      </c>
      <c r="AY1090" s="104" t="str">
        <f>HYPERLINK("http://www.bing.com/maps/?lvl=14&amp;sty=h&amp;cp=36.6026~43.2789&amp;sp=point.36.6026_43.2789","Maplink3")</f>
        <v>Maplink3</v>
      </c>
    </row>
    <row r="1091" spans="1:51" x14ac:dyDescent="0.2">
      <c r="A1091" s="102">
        <v>17051</v>
      </c>
      <c r="B1091" s="103" t="s">
        <v>35</v>
      </c>
      <c r="C1091" s="103" t="s">
        <v>100</v>
      </c>
      <c r="D1091" s="103" t="s">
        <v>2148</v>
      </c>
      <c r="E1091" s="103" t="s">
        <v>2149</v>
      </c>
      <c r="F1091" s="103">
        <v>36.565376000000001</v>
      </c>
      <c r="G1091" s="103">
        <v>43.252213037200001</v>
      </c>
      <c r="H1091" s="102">
        <v>26</v>
      </c>
      <c r="I1091" s="102">
        <v>156</v>
      </c>
      <c r="J1091" s="103"/>
      <c r="K1091" s="103"/>
      <c r="L1091" s="103"/>
      <c r="M1091" s="103">
        <v>26</v>
      </c>
      <c r="N1091" s="103"/>
      <c r="O1091" s="103"/>
      <c r="P1091" s="103"/>
      <c r="Q1091" s="103"/>
      <c r="R1091" s="103"/>
      <c r="S1091" s="103"/>
      <c r="T1091" s="103"/>
      <c r="U1091" s="103"/>
      <c r="V1091" s="103"/>
      <c r="W1091" s="103"/>
      <c r="X1091" s="103"/>
      <c r="Y1091" s="103"/>
      <c r="Z1091" s="103"/>
      <c r="AA1091" s="103"/>
      <c r="AB1091" s="103"/>
      <c r="AC1091" s="103"/>
      <c r="AD1091" s="103"/>
      <c r="AE1091" s="103"/>
      <c r="AF1091" s="103"/>
      <c r="AG1091" s="103">
        <v>26</v>
      </c>
      <c r="AH1091" s="103"/>
      <c r="AI1091" s="103"/>
      <c r="AJ1091" s="103"/>
      <c r="AK1091" s="103"/>
      <c r="AL1091" s="103"/>
      <c r="AM1091" s="103"/>
      <c r="AN1091" s="103"/>
      <c r="AO1091" s="103">
        <v>26</v>
      </c>
      <c r="AP1091" s="103"/>
      <c r="AQ1091" s="103"/>
      <c r="AR1091" s="103"/>
      <c r="AS1091" s="103"/>
      <c r="AT1091" s="103"/>
      <c r="AU1091" s="103"/>
      <c r="AV1091" s="103"/>
      <c r="AW1091" s="104" t="str">
        <f>HYPERLINK("http://www.openstreetmap.org/?mlat=36.5654&amp;mlon=43.2522&amp;zoom=12#map=12/36.5654/43.2522","Maplink1")</f>
        <v>Maplink1</v>
      </c>
      <c r="AX1091" s="104" t="str">
        <f>HYPERLINK("https://www.google.iq/maps/search/+36.5654,43.2522/@36.5654,43.2522,14z?hl=en","Maplink2")</f>
        <v>Maplink2</v>
      </c>
      <c r="AY1091" s="104" t="str">
        <f>HYPERLINK("http://www.bing.com/maps/?lvl=14&amp;sty=h&amp;cp=36.5654~43.2522&amp;sp=point.36.5654_43.2522","Maplink3")</f>
        <v>Maplink3</v>
      </c>
    </row>
    <row r="1092" spans="1:51" x14ac:dyDescent="0.2">
      <c r="A1092" s="102">
        <v>17049</v>
      </c>
      <c r="B1092" s="103" t="s">
        <v>35</v>
      </c>
      <c r="C1092" s="103" t="s">
        <v>100</v>
      </c>
      <c r="D1092" s="103" t="s">
        <v>2142</v>
      </c>
      <c r="E1092" s="103" t="s">
        <v>2143</v>
      </c>
      <c r="F1092" s="103">
        <v>36.567179000000003</v>
      </c>
      <c r="G1092" s="103">
        <v>43.236359959200001</v>
      </c>
      <c r="H1092" s="102">
        <v>63</v>
      </c>
      <c r="I1092" s="102">
        <v>378</v>
      </c>
      <c r="J1092" s="103"/>
      <c r="K1092" s="103"/>
      <c r="L1092" s="103"/>
      <c r="M1092" s="103">
        <v>63</v>
      </c>
      <c r="N1092" s="103"/>
      <c r="O1092" s="103"/>
      <c r="P1092" s="103"/>
      <c r="Q1092" s="103"/>
      <c r="R1092" s="103"/>
      <c r="S1092" s="103"/>
      <c r="T1092" s="103"/>
      <c r="U1092" s="103"/>
      <c r="V1092" s="103"/>
      <c r="W1092" s="103"/>
      <c r="X1092" s="103"/>
      <c r="Y1092" s="103"/>
      <c r="Z1092" s="103"/>
      <c r="AA1092" s="103"/>
      <c r="AB1092" s="103"/>
      <c r="AC1092" s="103"/>
      <c r="AD1092" s="103"/>
      <c r="AE1092" s="103"/>
      <c r="AF1092" s="103"/>
      <c r="AG1092" s="103">
        <v>63</v>
      </c>
      <c r="AH1092" s="103"/>
      <c r="AI1092" s="103"/>
      <c r="AJ1092" s="103"/>
      <c r="AK1092" s="103"/>
      <c r="AL1092" s="103"/>
      <c r="AM1092" s="103"/>
      <c r="AN1092" s="103"/>
      <c r="AO1092" s="103">
        <v>63</v>
      </c>
      <c r="AP1092" s="103"/>
      <c r="AQ1092" s="103"/>
      <c r="AR1092" s="103"/>
      <c r="AS1092" s="103"/>
      <c r="AT1092" s="103"/>
      <c r="AU1092" s="103"/>
      <c r="AV1092" s="103"/>
      <c r="AW1092" s="104" t="str">
        <f>HYPERLINK("http://www.openstreetmap.org/?mlat=36.5672&amp;mlon=43.2364&amp;zoom=12#map=12/36.5672/43.2364","Maplink1")</f>
        <v>Maplink1</v>
      </c>
      <c r="AX1092" s="104" t="str">
        <f>HYPERLINK("https://www.google.iq/maps/search/+36.5672,43.2364/@36.5672,43.2364,14z?hl=en","Maplink2")</f>
        <v>Maplink2</v>
      </c>
      <c r="AY1092" s="104" t="str">
        <f>HYPERLINK("http://www.bing.com/maps/?lvl=14&amp;sty=h&amp;cp=36.5672~43.2364&amp;sp=point.36.5672_43.2364","Maplink3")</f>
        <v>Maplink3</v>
      </c>
    </row>
    <row r="1093" spans="1:51" x14ac:dyDescent="0.2">
      <c r="A1093" s="102">
        <v>22072</v>
      </c>
      <c r="B1093" s="103" t="s">
        <v>35</v>
      </c>
      <c r="C1093" s="103" t="s">
        <v>100</v>
      </c>
      <c r="D1093" s="103" t="s">
        <v>2140</v>
      </c>
      <c r="E1093" s="103" t="s">
        <v>2141</v>
      </c>
      <c r="F1093" s="103">
        <v>36.629018000000002</v>
      </c>
      <c r="G1093" s="103">
        <v>43.254221070299998</v>
      </c>
      <c r="H1093" s="102">
        <v>36</v>
      </c>
      <c r="I1093" s="102">
        <v>216</v>
      </c>
      <c r="J1093" s="103"/>
      <c r="K1093" s="103"/>
      <c r="L1093" s="103"/>
      <c r="M1093" s="103">
        <v>36</v>
      </c>
      <c r="N1093" s="103"/>
      <c r="O1093" s="103"/>
      <c r="P1093" s="103"/>
      <c r="Q1093" s="103"/>
      <c r="R1093" s="103"/>
      <c r="S1093" s="103"/>
      <c r="T1093" s="103"/>
      <c r="U1093" s="103"/>
      <c r="V1093" s="103"/>
      <c r="W1093" s="103"/>
      <c r="X1093" s="103"/>
      <c r="Y1093" s="103"/>
      <c r="Z1093" s="103"/>
      <c r="AA1093" s="103"/>
      <c r="AB1093" s="103"/>
      <c r="AC1093" s="103"/>
      <c r="AD1093" s="103"/>
      <c r="AE1093" s="103"/>
      <c r="AF1093" s="103"/>
      <c r="AG1093" s="103">
        <v>36</v>
      </c>
      <c r="AH1093" s="103"/>
      <c r="AI1093" s="103"/>
      <c r="AJ1093" s="103"/>
      <c r="AK1093" s="103"/>
      <c r="AL1093" s="103"/>
      <c r="AM1093" s="103"/>
      <c r="AN1093" s="103"/>
      <c r="AO1093" s="103">
        <v>36</v>
      </c>
      <c r="AP1093" s="103"/>
      <c r="AQ1093" s="103"/>
      <c r="AR1093" s="103"/>
      <c r="AS1093" s="103"/>
      <c r="AT1093" s="103"/>
      <c r="AU1093" s="103"/>
      <c r="AV1093" s="103"/>
      <c r="AW1093" s="104" t="str">
        <f>HYPERLINK("http://www.openstreetmap.org/?mlat=36.629&amp;mlon=43.2542&amp;zoom=12#map=12/36.629/43.2542","Maplink1")</f>
        <v>Maplink1</v>
      </c>
      <c r="AX1093" s="104" t="str">
        <f>HYPERLINK("https://www.google.iq/maps/search/+36.629,43.2542/@36.629,43.2542,14z?hl=en","Maplink2")</f>
        <v>Maplink2</v>
      </c>
      <c r="AY1093" s="104" t="str">
        <f>HYPERLINK("http://www.bing.com/maps/?lvl=14&amp;sty=h&amp;cp=36.629~43.2542&amp;sp=point.36.629_43.2542","Maplink3")</f>
        <v>Maplink3</v>
      </c>
    </row>
    <row r="1094" spans="1:51" x14ac:dyDescent="0.2">
      <c r="A1094" s="102">
        <v>32097</v>
      </c>
      <c r="B1094" s="103" t="s">
        <v>35</v>
      </c>
      <c r="C1094" s="103" t="s">
        <v>100</v>
      </c>
      <c r="D1094" s="103" t="s">
        <v>2144</v>
      </c>
      <c r="E1094" s="103" t="s">
        <v>2145</v>
      </c>
      <c r="F1094" s="103">
        <v>36.632944000000002</v>
      </c>
      <c r="G1094" s="103">
        <v>43.253656725100001</v>
      </c>
      <c r="H1094" s="102">
        <v>55</v>
      </c>
      <c r="I1094" s="102">
        <v>330</v>
      </c>
      <c r="J1094" s="103"/>
      <c r="K1094" s="103"/>
      <c r="L1094" s="103"/>
      <c r="M1094" s="103">
        <v>55</v>
      </c>
      <c r="N1094" s="103"/>
      <c r="O1094" s="103"/>
      <c r="P1094" s="103"/>
      <c r="Q1094" s="103"/>
      <c r="R1094" s="103"/>
      <c r="S1094" s="103"/>
      <c r="T1094" s="103"/>
      <c r="U1094" s="103"/>
      <c r="V1094" s="103"/>
      <c r="W1094" s="103"/>
      <c r="X1094" s="103"/>
      <c r="Y1094" s="103"/>
      <c r="Z1094" s="103"/>
      <c r="AA1094" s="103"/>
      <c r="AB1094" s="103"/>
      <c r="AC1094" s="103"/>
      <c r="AD1094" s="103"/>
      <c r="AE1094" s="103"/>
      <c r="AF1094" s="103"/>
      <c r="AG1094" s="103">
        <v>55</v>
      </c>
      <c r="AH1094" s="103"/>
      <c r="AI1094" s="103"/>
      <c r="AJ1094" s="103"/>
      <c r="AK1094" s="103"/>
      <c r="AL1094" s="103"/>
      <c r="AM1094" s="103"/>
      <c r="AN1094" s="103"/>
      <c r="AO1094" s="103">
        <v>55</v>
      </c>
      <c r="AP1094" s="103"/>
      <c r="AQ1094" s="103"/>
      <c r="AR1094" s="103"/>
      <c r="AS1094" s="103"/>
      <c r="AT1094" s="103"/>
      <c r="AU1094" s="103"/>
      <c r="AV1094" s="103"/>
      <c r="AW1094" s="104" t="str">
        <f>HYPERLINK("http://www.openstreetmap.org/?mlat=36.6329&amp;mlon=43.2537&amp;zoom=12#map=12/36.6329/43.2537","Maplink1")</f>
        <v>Maplink1</v>
      </c>
      <c r="AX1094" s="104" t="str">
        <f>HYPERLINK("https://www.google.iq/maps/search/+36.6329,43.2537/@36.6329,43.2537,14z?hl=en","Maplink2")</f>
        <v>Maplink2</v>
      </c>
      <c r="AY1094" s="104" t="str">
        <f>HYPERLINK("http://www.bing.com/maps/?lvl=14&amp;sty=h&amp;cp=36.6329~43.2537&amp;sp=point.36.6329_43.2537","Maplink3")</f>
        <v>Maplink3</v>
      </c>
    </row>
    <row r="1095" spans="1:51" x14ac:dyDescent="0.2">
      <c r="A1095" s="102">
        <v>17045</v>
      </c>
      <c r="B1095" s="103" t="s">
        <v>35</v>
      </c>
      <c r="C1095" s="103" t="s">
        <v>100</v>
      </c>
      <c r="D1095" s="103" t="s">
        <v>2134</v>
      </c>
      <c r="E1095" s="103" t="s">
        <v>2135</v>
      </c>
      <c r="F1095" s="103">
        <v>36.583356999999999</v>
      </c>
      <c r="G1095" s="103">
        <v>43.243519231900002</v>
      </c>
      <c r="H1095" s="102">
        <v>100</v>
      </c>
      <c r="I1095" s="102">
        <v>600</v>
      </c>
      <c r="J1095" s="103"/>
      <c r="K1095" s="103"/>
      <c r="L1095" s="103"/>
      <c r="M1095" s="103">
        <v>100</v>
      </c>
      <c r="N1095" s="103"/>
      <c r="O1095" s="103"/>
      <c r="P1095" s="103"/>
      <c r="Q1095" s="103"/>
      <c r="R1095" s="103"/>
      <c r="S1095" s="103"/>
      <c r="T1095" s="103"/>
      <c r="U1095" s="103"/>
      <c r="V1095" s="103"/>
      <c r="W1095" s="103"/>
      <c r="X1095" s="103"/>
      <c r="Y1095" s="103"/>
      <c r="Z1095" s="103"/>
      <c r="AA1095" s="103"/>
      <c r="AB1095" s="103"/>
      <c r="AC1095" s="103"/>
      <c r="AD1095" s="103"/>
      <c r="AE1095" s="103"/>
      <c r="AF1095" s="103"/>
      <c r="AG1095" s="103">
        <v>100</v>
      </c>
      <c r="AH1095" s="103"/>
      <c r="AI1095" s="103"/>
      <c r="AJ1095" s="103"/>
      <c r="AK1095" s="103"/>
      <c r="AL1095" s="103"/>
      <c r="AM1095" s="103"/>
      <c r="AN1095" s="103"/>
      <c r="AO1095" s="103">
        <v>100</v>
      </c>
      <c r="AP1095" s="103"/>
      <c r="AQ1095" s="103"/>
      <c r="AR1095" s="103"/>
      <c r="AS1095" s="103"/>
      <c r="AT1095" s="103"/>
      <c r="AU1095" s="103"/>
      <c r="AV1095" s="103"/>
      <c r="AW1095" s="104" t="str">
        <f>HYPERLINK("http://www.openstreetmap.org/?mlat=36.5834&amp;mlon=43.2435&amp;zoom=12#map=12/36.5834/43.2435","Maplink1")</f>
        <v>Maplink1</v>
      </c>
      <c r="AX1095" s="104" t="str">
        <f>HYPERLINK("https://www.google.iq/maps/search/+36.5834,43.2435/@36.5834,43.2435,14z?hl=en","Maplink2")</f>
        <v>Maplink2</v>
      </c>
      <c r="AY1095" s="104" t="str">
        <f>HYPERLINK("http://www.bing.com/maps/?lvl=14&amp;sty=h&amp;cp=36.5834~43.2435&amp;sp=point.36.5834_43.2435","Maplink3")</f>
        <v>Maplink3</v>
      </c>
    </row>
    <row r="1096" spans="1:51" x14ac:dyDescent="0.2">
      <c r="A1096" s="102">
        <v>33230</v>
      </c>
      <c r="B1096" s="103" t="s">
        <v>35</v>
      </c>
      <c r="C1096" s="103" t="s">
        <v>101</v>
      </c>
      <c r="D1096" s="103" t="s">
        <v>2180</v>
      </c>
      <c r="E1096" s="103" t="s">
        <v>2181</v>
      </c>
      <c r="F1096" s="103">
        <v>35.905118999999999</v>
      </c>
      <c r="G1096" s="103">
        <v>42.721860999999997</v>
      </c>
      <c r="H1096" s="102">
        <v>30</v>
      </c>
      <c r="I1096" s="102">
        <v>180</v>
      </c>
      <c r="J1096" s="103"/>
      <c r="K1096" s="103"/>
      <c r="L1096" s="103"/>
      <c r="M1096" s="103">
        <v>30</v>
      </c>
      <c r="N1096" s="103"/>
      <c r="O1096" s="103"/>
      <c r="P1096" s="103"/>
      <c r="Q1096" s="103"/>
      <c r="R1096" s="103"/>
      <c r="S1096" s="103"/>
      <c r="T1096" s="103"/>
      <c r="U1096" s="103"/>
      <c r="V1096" s="103"/>
      <c r="W1096" s="103"/>
      <c r="X1096" s="103"/>
      <c r="Y1096" s="103"/>
      <c r="Z1096" s="103"/>
      <c r="AA1096" s="103"/>
      <c r="AB1096" s="103"/>
      <c r="AC1096" s="103"/>
      <c r="AD1096" s="103"/>
      <c r="AE1096" s="103"/>
      <c r="AF1096" s="103"/>
      <c r="AG1096" s="103">
        <v>30</v>
      </c>
      <c r="AH1096" s="103"/>
      <c r="AI1096" s="103"/>
      <c r="AJ1096" s="103"/>
      <c r="AK1096" s="103"/>
      <c r="AL1096" s="103"/>
      <c r="AM1096" s="103"/>
      <c r="AN1096" s="103"/>
      <c r="AO1096" s="103"/>
      <c r="AP1096" s="103"/>
      <c r="AQ1096" s="103"/>
      <c r="AR1096" s="103"/>
      <c r="AS1096" s="103">
        <v>30</v>
      </c>
      <c r="AT1096" s="103"/>
      <c r="AU1096" s="103"/>
      <c r="AV1096" s="103"/>
      <c r="AW1096" s="104" t="str">
        <f>HYPERLINK("http://www.openstreetmap.org/?mlat=35.9051&amp;mlon=42.7219&amp;zoom=12#map=12/35.9051/42.7219","Maplink1")</f>
        <v>Maplink1</v>
      </c>
      <c r="AX1096" s="104" t="str">
        <f>HYPERLINK("https://www.google.iq/maps/search/+35.9051,42.7219/@35.9051,42.7219,14z?hl=en","Maplink2")</f>
        <v>Maplink2</v>
      </c>
      <c r="AY1096" s="104" t="str">
        <f>HYPERLINK("http://www.bing.com/maps/?lvl=14&amp;sty=h&amp;cp=35.9051~42.7219&amp;sp=point.35.9051_42.7219","Maplink3")</f>
        <v>Maplink3</v>
      </c>
    </row>
    <row r="1097" spans="1:51" x14ac:dyDescent="0.2">
      <c r="A1097" s="102">
        <v>33774</v>
      </c>
      <c r="B1097" s="103" t="s">
        <v>35</v>
      </c>
      <c r="C1097" s="103" t="s">
        <v>101</v>
      </c>
      <c r="D1097" s="103" t="s">
        <v>2182</v>
      </c>
      <c r="E1097" s="103" t="s">
        <v>2183</v>
      </c>
      <c r="F1097" s="103">
        <v>35.807841000000003</v>
      </c>
      <c r="G1097" s="103">
        <v>43.053190999999998</v>
      </c>
      <c r="H1097" s="102">
        <v>48</v>
      </c>
      <c r="I1097" s="102">
        <v>288</v>
      </c>
      <c r="J1097" s="103"/>
      <c r="K1097" s="103"/>
      <c r="L1097" s="103"/>
      <c r="M1097" s="103">
        <v>48</v>
      </c>
      <c r="N1097" s="103"/>
      <c r="O1097" s="103"/>
      <c r="P1097" s="103"/>
      <c r="Q1097" s="103"/>
      <c r="R1097" s="103"/>
      <c r="S1097" s="103"/>
      <c r="T1097" s="103"/>
      <c r="U1097" s="103"/>
      <c r="V1097" s="103"/>
      <c r="W1097" s="103"/>
      <c r="X1097" s="103"/>
      <c r="Y1097" s="103"/>
      <c r="Z1097" s="103"/>
      <c r="AA1097" s="103"/>
      <c r="AB1097" s="103"/>
      <c r="AC1097" s="103"/>
      <c r="AD1097" s="103"/>
      <c r="AE1097" s="103"/>
      <c r="AF1097" s="103"/>
      <c r="AG1097" s="103">
        <v>48</v>
      </c>
      <c r="AH1097" s="103"/>
      <c r="AI1097" s="103"/>
      <c r="AJ1097" s="103"/>
      <c r="AK1097" s="103"/>
      <c r="AL1097" s="103"/>
      <c r="AM1097" s="103"/>
      <c r="AN1097" s="103"/>
      <c r="AO1097" s="103"/>
      <c r="AP1097" s="103"/>
      <c r="AQ1097" s="103"/>
      <c r="AR1097" s="103">
        <v>48</v>
      </c>
      <c r="AS1097" s="103"/>
      <c r="AT1097" s="103"/>
      <c r="AU1097" s="103"/>
      <c r="AV1097" s="103"/>
      <c r="AW1097" s="104" t="str">
        <f>HYPERLINK("http://www.openstreetmap.org/?mlat=35.8078&amp;mlon=43.0532&amp;zoom=12#map=12/35.8078/43.0532","Maplink1")</f>
        <v>Maplink1</v>
      </c>
      <c r="AX1097" s="104" t="str">
        <f>HYPERLINK("https://www.google.iq/maps/search/+35.8078,43.0532/@35.8078,43.0532,14z?hl=en","Maplink2")</f>
        <v>Maplink2</v>
      </c>
      <c r="AY1097" s="104" t="str">
        <f>HYPERLINK("http://www.bing.com/maps/?lvl=14&amp;sty=h&amp;cp=35.8078~43.0532&amp;sp=point.35.8078_43.0532","Maplink3")</f>
        <v>Maplink3</v>
      </c>
    </row>
    <row r="1098" spans="1:51" x14ac:dyDescent="0.2">
      <c r="A1098" s="102">
        <v>33990</v>
      </c>
      <c r="B1098" s="103" t="s">
        <v>35</v>
      </c>
      <c r="C1098" s="103" t="s">
        <v>101</v>
      </c>
      <c r="D1098" s="103" t="s">
        <v>2184</v>
      </c>
      <c r="E1098" s="103" t="s">
        <v>2185</v>
      </c>
      <c r="F1098" s="103">
        <v>35.789844000000002</v>
      </c>
      <c r="G1098" s="103">
        <v>42.863990999999999</v>
      </c>
      <c r="H1098" s="102">
        <v>125</v>
      </c>
      <c r="I1098" s="102">
        <v>750</v>
      </c>
      <c r="J1098" s="103"/>
      <c r="K1098" s="103"/>
      <c r="L1098" s="103"/>
      <c r="M1098" s="103">
        <v>123</v>
      </c>
      <c r="N1098" s="103">
        <v>2</v>
      </c>
      <c r="O1098" s="103"/>
      <c r="P1098" s="103"/>
      <c r="Q1098" s="103"/>
      <c r="R1098" s="103"/>
      <c r="S1098" s="103"/>
      <c r="T1098" s="103"/>
      <c r="U1098" s="103"/>
      <c r="V1098" s="103"/>
      <c r="W1098" s="103"/>
      <c r="X1098" s="103"/>
      <c r="Y1098" s="103"/>
      <c r="Z1098" s="103"/>
      <c r="AA1098" s="103"/>
      <c r="AB1098" s="103"/>
      <c r="AC1098" s="103"/>
      <c r="AD1098" s="103"/>
      <c r="AE1098" s="103"/>
      <c r="AF1098" s="103"/>
      <c r="AG1098" s="103">
        <v>125</v>
      </c>
      <c r="AH1098" s="103"/>
      <c r="AI1098" s="103"/>
      <c r="AJ1098" s="103"/>
      <c r="AK1098" s="103"/>
      <c r="AL1098" s="103"/>
      <c r="AM1098" s="103"/>
      <c r="AN1098" s="103"/>
      <c r="AO1098" s="103"/>
      <c r="AP1098" s="103"/>
      <c r="AQ1098" s="103"/>
      <c r="AR1098" s="103"/>
      <c r="AS1098" s="103">
        <v>125</v>
      </c>
      <c r="AT1098" s="103"/>
      <c r="AU1098" s="103"/>
      <c r="AV1098" s="103"/>
      <c r="AW1098" s="104" t="str">
        <f>HYPERLINK("http://www.openstreetmap.org/?mlat=35.7898&amp;mlon=42.864&amp;zoom=12#map=12/35.7898/42.864","Maplink1")</f>
        <v>Maplink1</v>
      </c>
      <c r="AX1098" s="104" t="str">
        <f>HYPERLINK("https://www.google.iq/maps/search/+35.7898,42.864/@35.7898,42.864,14z?hl=en","Maplink2")</f>
        <v>Maplink2</v>
      </c>
      <c r="AY1098" s="104" t="str">
        <f>HYPERLINK("http://www.bing.com/maps/?lvl=14&amp;sty=h&amp;cp=35.7898~42.864&amp;sp=point.35.7898_42.864","Maplink3")</f>
        <v>Maplink3</v>
      </c>
    </row>
    <row r="1099" spans="1:51" x14ac:dyDescent="0.2">
      <c r="A1099" s="102">
        <v>33388</v>
      </c>
      <c r="B1099" s="103" t="s">
        <v>35</v>
      </c>
      <c r="C1099" s="103" t="s">
        <v>101</v>
      </c>
      <c r="D1099" s="103" t="s">
        <v>2250</v>
      </c>
      <c r="E1099" s="103" t="s">
        <v>2251</v>
      </c>
      <c r="F1099" s="103">
        <v>36.057197000000002</v>
      </c>
      <c r="G1099" s="103">
        <v>42.5730724374</v>
      </c>
      <c r="H1099" s="102">
        <v>115</v>
      </c>
      <c r="I1099" s="102">
        <v>690</v>
      </c>
      <c r="J1099" s="103"/>
      <c r="K1099" s="103"/>
      <c r="L1099" s="103"/>
      <c r="M1099" s="103">
        <v>112</v>
      </c>
      <c r="N1099" s="103">
        <v>3</v>
      </c>
      <c r="O1099" s="103"/>
      <c r="P1099" s="103"/>
      <c r="Q1099" s="103"/>
      <c r="R1099" s="103"/>
      <c r="S1099" s="103"/>
      <c r="T1099" s="103"/>
      <c r="U1099" s="103"/>
      <c r="V1099" s="103"/>
      <c r="W1099" s="103"/>
      <c r="X1099" s="103"/>
      <c r="Y1099" s="103"/>
      <c r="Z1099" s="103"/>
      <c r="AA1099" s="103"/>
      <c r="AB1099" s="103"/>
      <c r="AC1099" s="103"/>
      <c r="AD1099" s="103"/>
      <c r="AE1099" s="103"/>
      <c r="AF1099" s="103"/>
      <c r="AG1099" s="103">
        <v>115</v>
      </c>
      <c r="AH1099" s="103"/>
      <c r="AI1099" s="103"/>
      <c r="AJ1099" s="103"/>
      <c r="AK1099" s="103"/>
      <c r="AL1099" s="103"/>
      <c r="AM1099" s="103"/>
      <c r="AN1099" s="103"/>
      <c r="AO1099" s="103"/>
      <c r="AP1099" s="103"/>
      <c r="AQ1099" s="103"/>
      <c r="AR1099" s="103"/>
      <c r="AS1099" s="103">
        <v>115</v>
      </c>
      <c r="AT1099" s="103"/>
      <c r="AU1099" s="103"/>
      <c r="AV1099" s="103"/>
      <c r="AW1099" s="104" t="str">
        <f>HYPERLINK("http://www.openstreetmap.org/?mlat=36.0572&amp;mlon=42.5731&amp;zoom=12#map=12/36.0572/42.5731","Maplink1")</f>
        <v>Maplink1</v>
      </c>
      <c r="AX1099" s="104" t="str">
        <f>HYPERLINK("https://www.google.iq/maps/search/+36.0572,42.5731/@36.0572,42.5731,14z?hl=en","Maplink2")</f>
        <v>Maplink2</v>
      </c>
      <c r="AY1099" s="104" t="str">
        <f>HYPERLINK("http://www.bing.com/maps/?lvl=14&amp;sty=h&amp;cp=36.0572~42.5731&amp;sp=point.36.0572_42.5731","Maplink3")</f>
        <v>Maplink3</v>
      </c>
    </row>
    <row r="1100" spans="1:51" x14ac:dyDescent="0.2">
      <c r="A1100" s="102">
        <v>33868</v>
      </c>
      <c r="B1100" s="103" t="s">
        <v>35</v>
      </c>
      <c r="C1100" s="103" t="s">
        <v>101</v>
      </c>
      <c r="D1100" s="103" t="s">
        <v>2252</v>
      </c>
      <c r="E1100" s="103" t="s">
        <v>2253</v>
      </c>
      <c r="F1100" s="103">
        <v>35.778297000000002</v>
      </c>
      <c r="G1100" s="103">
        <v>43.056350999999999</v>
      </c>
      <c r="H1100" s="102">
        <v>40</v>
      </c>
      <c r="I1100" s="102">
        <v>240</v>
      </c>
      <c r="J1100" s="103"/>
      <c r="K1100" s="103"/>
      <c r="L1100" s="103"/>
      <c r="M1100" s="103">
        <v>40</v>
      </c>
      <c r="N1100" s="103"/>
      <c r="O1100" s="103"/>
      <c r="P1100" s="103"/>
      <c r="Q1100" s="103"/>
      <c r="R1100" s="103"/>
      <c r="S1100" s="103"/>
      <c r="T1100" s="103"/>
      <c r="U1100" s="103"/>
      <c r="V1100" s="103"/>
      <c r="W1100" s="103"/>
      <c r="X1100" s="103"/>
      <c r="Y1100" s="103"/>
      <c r="Z1100" s="103"/>
      <c r="AA1100" s="103"/>
      <c r="AB1100" s="103"/>
      <c r="AC1100" s="103"/>
      <c r="AD1100" s="103"/>
      <c r="AE1100" s="103"/>
      <c r="AF1100" s="103"/>
      <c r="AG1100" s="103">
        <v>40</v>
      </c>
      <c r="AH1100" s="103"/>
      <c r="AI1100" s="103"/>
      <c r="AJ1100" s="103"/>
      <c r="AK1100" s="103"/>
      <c r="AL1100" s="103"/>
      <c r="AM1100" s="103"/>
      <c r="AN1100" s="103"/>
      <c r="AO1100" s="103"/>
      <c r="AP1100" s="103"/>
      <c r="AQ1100" s="103"/>
      <c r="AR1100" s="103">
        <v>40</v>
      </c>
      <c r="AS1100" s="103"/>
      <c r="AT1100" s="103"/>
      <c r="AU1100" s="103"/>
      <c r="AV1100" s="103"/>
      <c r="AW1100" s="104" t="str">
        <f>HYPERLINK("http://www.openstreetmap.org/?mlat=35.7783&amp;mlon=43.0564&amp;zoom=12#map=12/35.7783/43.0564","Maplink1")</f>
        <v>Maplink1</v>
      </c>
      <c r="AX1100" s="104" t="str">
        <f>HYPERLINK("https://www.google.iq/maps/search/+35.7783,43.0564/@35.7783,43.0564,14z?hl=en","Maplink2")</f>
        <v>Maplink2</v>
      </c>
      <c r="AY1100" s="104" t="str">
        <f>HYPERLINK("http://www.bing.com/maps/?lvl=14&amp;sty=h&amp;cp=35.7783~43.0564&amp;sp=point.35.7783_43.0564","Maplink3")</f>
        <v>Maplink3</v>
      </c>
    </row>
    <row r="1101" spans="1:51" x14ac:dyDescent="0.2">
      <c r="A1101" s="102">
        <v>33977</v>
      </c>
      <c r="B1101" s="103" t="s">
        <v>35</v>
      </c>
      <c r="C1101" s="103" t="s">
        <v>101</v>
      </c>
      <c r="D1101" s="103" t="s">
        <v>2254</v>
      </c>
      <c r="E1101" s="103" t="s">
        <v>2255</v>
      </c>
      <c r="F1101" s="103">
        <v>35.890552999999997</v>
      </c>
      <c r="G1101" s="103">
        <v>42.604328000000002</v>
      </c>
      <c r="H1101" s="102">
        <v>40</v>
      </c>
      <c r="I1101" s="102">
        <v>240</v>
      </c>
      <c r="J1101" s="103"/>
      <c r="K1101" s="103"/>
      <c r="L1101" s="103"/>
      <c r="M1101" s="103">
        <v>40</v>
      </c>
      <c r="N1101" s="103"/>
      <c r="O1101" s="103"/>
      <c r="P1101" s="103"/>
      <c r="Q1101" s="103"/>
      <c r="R1101" s="103"/>
      <c r="S1101" s="103"/>
      <c r="T1101" s="103"/>
      <c r="U1101" s="103"/>
      <c r="V1101" s="103"/>
      <c r="W1101" s="103"/>
      <c r="X1101" s="103"/>
      <c r="Y1101" s="103"/>
      <c r="Z1101" s="103"/>
      <c r="AA1101" s="103"/>
      <c r="AB1101" s="103"/>
      <c r="AC1101" s="103"/>
      <c r="AD1101" s="103"/>
      <c r="AE1101" s="103"/>
      <c r="AF1101" s="103"/>
      <c r="AG1101" s="103">
        <v>40</v>
      </c>
      <c r="AH1101" s="103"/>
      <c r="AI1101" s="103"/>
      <c r="AJ1101" s="103"/>
      <c r="AK1101" s="103"/>
      <c r="AL1101" s="103"/>
      <c r="AM1101" s="103"/>
      <c r="AN1101" s="103"/>
      <c r="AO1101" s="103"/>
      <c r="AP1101" s="103"/>
      <c r="AQ1101" s="103"/>
      <c r="AR1101" s="103"/>
      <c r="AS1101" s="103">
        <v>40</v>
      </c>
      <c r="AT1101" s="103"/>
      <c r="AU1101" s="103"/>
      <c r="AV1101" s="103"/>
      <c r="AW1101" s="104" t="str">
        <f>HYPERLINK("http://www.openstreetmap.org/?mlat=35.8906&amp;mlon=42.6043&amp;zoom=12#map=12/35.8906/42.6043","Maplink1")</f>
        <v>Maplink1</v>
      </c>
      <c r="AX1101" s="104" t="str">
        <f>HYPERLINK("https://www.google.iq/maps/search/+35.8906,42.6043/@35.8906,42.6043,14z?hl=en","Maplink2")</f>
        <v>Maplink2</v>
      </c>
      <c r="AY1101" s="104" t="str">
        <f>HYPERLINK("http://www.bing.com/maps/?lvl=14&amp;sty=h&amp;cp=35.8906~42.6043&amp;sp=point.35.8906_42.6043","Maplink3")</f>
        <v>Maplink3</v>
      </c>
    </row>
    <row r="1102" spans="1:51" x14ac:dyDescent="0.2">
      <c r="A1102" s="102">
        <v>33859</v>
      </c>
      <c r="B1102" s="103" t="s">
        <v>35</v>
      </c>
      <c r="C1102" s="103" t="s">
        <v>101</v>
      </c>
      <c r="D1102" s="103" t="s">
        <v>2244</v>
      </c>
      <c r="E1102" s="103" t="s">
        <v>2245</v>
      </c>
      <c r="F1102" s="103">
        <v>36.176400000000001</v>
      </c>
      <c r="G1102" s="103">
        <v>42.322414000000002</v>
      </c>
      <c r="H1102" s="102">
        <v>120</v>
      </c>
      <c r="I1102" s="102">
        <v>720</v>
      </c>
      <c r="J1102" s="103"/>
      <c r="K1102" s="103"/>
      <c r="L1102" s="103"/>
      <c r="M1102" s="103">
        <v>117</v>
      </c>
      <c r="N1102" s="103">
        <v>3</v>
      </c>
      <c r="O1102" s="103"/>
      <c r="P1102" s="103"/>
      <c r="Q1102" s="103"/>
      <c r="R1102" s="103"/>
      <c r="S1102" s="103"/>
      <c r="T1102" s="103"/>
      <c r="U1102" s="103"/>
      <c r="V1102" s="103"/>
      <c r="W1102" s="103"/>
      <c r="X1102" s="103"/>
      <c r="Y1102" s="103"/>
      <c r="Z1102" s="103"/>
      <c r="AA1102" s="103"/>
      <c r="AB1102" s="103"/>
      <c r="AC1102" s="103"/>
      <c r="AD1102" s="103"/>
      <c r="AE1102" s="103"/>
      <c r="AF1102" s="103"/>
      <c r="AG1102" s="103">
        <v>120</v>
      </c>
      <c r="AH1102" s="103"/>
      <c r="AI1102" s="103"/>
      <c r="AJ1102" s="103"/>
      <c r="AK1102" s="103"/>
      <c r="AL1102" s="103"/>
      <c r="AM1102" s="103"/>
      <c r="AN1102" s="103"/>
      <c r="AO1102" s="103"/>
      <c r="AP1102" s="103"/>
      <c r="AQ1102" s="103"/>
      <c r="AR1102" s="103"/>
      <c r="AS1102" s="103">
        <v>120</v>
      </c>
      <c r="AT1102" s="103"/>
      <c r="AU1102" s="103"/>
      <c r="AV1102" s="103"/>
      <c r="AW1102" s="104" t="str">
        <f>HYPERLINK("http://www.openstreetmap.org/?mlat=36.1764&amp;mlon=42.3224&amp;zoom=12#map=12/36.1764/42.3224","Maplink1")</f>
        <v>Maplink1</v>
      </c>
      <c r="AX1102" s="104" t="str">
        <f>HYPERLINK("https://www.google.iq/maps/search/+36.1764,42.3224/@36.1764,42.3224,14z?hl=en","Maplink2")</f>
        <v>Maplink2</v>
      </c>
      <c r="AY1102" s="104" t="str">
        <f>HYPERLINK("http://www.bing.com/maps/?lvl=14&amp;sty=h&amp;cp=36.1764~42.3224&amp;sp=point.36.1764_42.3224","Maplink3")</f>
        <v>Maplink3</v>
      </c>
    </row>
    <row r="1103" spans="1:51" x14ac:dyDescent="0.2">
      <c r="A1103" s="102">
        <v>33731</v>
      </c>
      <c r="B1103" s="103" t="s">
        <v>35</v>
      </c>
      <c r="C1103" s="103" t="s">
        <v>101</v>
      </c>
      <c r="D1103" s="103" t="s">
        <v>2154</v>
      </c>
      <c r="E1103" s="103" t="s">
        <v>2155</v>
      </c>
      <c r="F1103" s="103">
        <v>35.876708000000001</v>
      </c>
      <c r="G1103" s="103">
        <v>42.384193000000003</v>
      </c>
      <c r="H1103" s="102">
        <v>25</v>
      </c>
      <c r="I1103" s="102">
        <v>150</v>
      </c>
      <c r="J1103" s="103"/>
      <c r="K1103" s="103"/>
      <c r="L1103" s="103"/>
      <c r="M1103" s="103">
        <v>25</v>
      </c>
      <c r="N1103" s="103"/>
      <c r="O1103" s="103"/>
      <c r="P1103" s="103"/>
      <c r="Q1103" s="103"/>
      <c r="R1103" s="103"/>
      <c r="S1103" s="103"/>
      <c r="T1103" s="103"/>
      <c r="U1103" s="103"/>
      <c r="V1103" s="103"/>
      <c r="W1103" s="103"/>
      <c r="X1103" s="103"/>
      <c r="Y1103" s="103"/>
      <c r="Z1103" s="103"/>
      <c r="AA1103" s="103"/>
      <c r="AB1103" s="103"/>
      <c r="AC1103" s="103"/>
      <c r="AD1103" s="103"/>
      <c r="AE1103" s="103"/>
      <c r="AF1103" s="103"/>
      <c r="AG1103" s="103">
        <v>25</v>
      </c>
      <c r="AH1103" s="103"/>
      <c r="AI1103" s="103"/>
      <c r="AJ1103" s="103"/>
      <c r="AK1103" s="103"/>
      <c r="AL1103" s="103"/>
      <c r="AM1103" s="103"/>
      <c r="AN1103" s="103"/>
      <c r="AO1103" s="103"/>
      <c r="AP1103" s="103"/>
      <c r="AQ1103" s="103"/>
      <c r="AR1103" s="103"/>
      <c r="AS1103" s="103">
        <v>25</v>
      </c>
      <c r="AT1103" s="103"/>
      <c r="AU1103" s="103"/>
      <c r="AV1103" s="103"/>
      <c r="AW1103" s="104" t="str">
        <f>HYPERLINK("http://www.openstreetmap.org/?mlat=35.8767&amp;mlon=42.3842&amp;zoom=12#map=12/35.8767/42.3842","Maplink1")</f>
        <v>Maplink1</v>
      </c>
      <c r="AX1103" s="104" t="str">
        <f>HYPERLINK("https://www.google.iq/maps/search/+35.8767,42.3842/@35.8767,42.3842,14z?hl=en","Maplink2")</f>
        <v>Maplink2</v>
      </c>
      <c r="AY1103" s="104" t="str">
        <f>HYPERLINK("http://www.bing.com/maps/?lvl=14&amp;sty=h&amp;cp=35.8767~42.3842&amp;sp=point.35.8767_42.3842","Maplink3")</f>
        <v>Maplink3</v>
      </c>
    </row>
    <row r="1104" spans="1:51" x14ac:dyDescent="0.2">
      <c r="A1104" s="102">
        <v>33973</v>
      </c>
      <c r="B1104" s="103" t="s">
        <v>35</v>
      </c>
      <c r="C1104" s="103" t="s">
        <v>101</v>
      </c>
      <c r="D1104" s="103" t="s">
        <v>2156</v>
      </c>
      <c r="E1104" s="103" t="s">
        <v>2157</v>
      </c>
      <c r="F1104" s="103">
        <v>35.860990000000001</v>
      </c>
      <c r="G1104" s="103">
        <v>42.941070000000003</v>
      </c>
      <c r="H1104" s="102">
        <v>12</v>
      </c>
      <c r="I1104" s="102">
        <v>72</v>
      </c>
      <c r="J1104" s="103"/>
      <c r="K1104" s="103"/>
      <c r="L1104" s="103"/>
      <c r="M1104" s="103">
        <v>12</v>
      </c>
      <c r="N1104" s="103"/>
      <c r="O1104" s="103"/>
      <c r="P1104" s="103"/>
      <c r="Q1104" s="103"/>
      <c r="R1104" s="103"/>
      <c r="S1104" s="103"/>
      <c r="T1104" s="103"/>
      <c r="U1104" s="103"/>
      <c r="V1104" s="103"/>
      <c r="W1104" s="103"/>
      <c r="X1104" s="103"/>
      <c r="Y1104" s="103"/>
      <c r="Z1104" s="103"/>
      <c r="AA1104" s="103"/>
      <c r="AB1104" s="103"/>
      <c r="AC1104" s="103"/>
      <c r="AD1104" s="103"/>
      <c r="AE1104" s="103"/>
      <c r="AF1104" s="103"/>
      <c r="AG1104" s="103">
        <v>12</v>
      </c>
      <c r="AH1104" s="103"/>
      <c r="AI1104" s="103"/>
      <c r="AJ1104" s="103"/>
      <c r="AK1104" s="103"/>
      <c r="AL1104" s="103"/>
      <c r="AM1104" s="103"/>
      <c r="AN1104" s="103"/>
      <c r="AO1104" s="103"/>
      <c r="AP1104" s="103"/>
      <c r="AQ1104" s="103"/>
      <c r="AR1104" s="103"/>
      <c r="AS1104" s="103">
        <v>12</v>
      </c>
      <c r="AT1104" s="103"/>
      <c r="AU1104" s="103"/>
      <c r="AV1104" s="103"/>
      <c r="AW1104" s="104" t="str">
        <f>HYPERLINK("http://www.openstreetmap.org/?mlat=35.861&amp;mlon=42.9411&amp;zoom=12#map=12/35.861/42.9411","Maplink1")</f>
        <v>Maplink1</v>
      </c>
      <c r="AX1104" s="104" t="str">
        <f>HYPERLINK("https://www.google.iq/maps/search/+35.861,42.9411/@35.861,42.9411,14z?hl=en","Maplink2")</f>
        <v>Maplink2</v>
      </c>
      <c r="AY1104" s="104" t="str">
        <f>HYPERLINK("http://www.bing.com/maps/?lvl=14&amp;sty=h&amp;cp=35.861~42.9411&amp;sp=point.35.861_42.9411","Maplink3")</f>
        <v>Maplink3</v>
      </c>
    </row>
    <row r="1105" spans="1:51" x14ac:dyDescent="0.2">
      <c r="A1105" s="102">
        <v>33981</v>
      </c>
      <c r="B1105" s="103" t="s">
        <v>35</v>
      </c>
      <c r="C1105" s="103" t="s">
        <v>101</v>
      </c>
      <c r="D1105" s="103" t="s">
        <v>2158</v>
      </c>
      <c r="E1105" s="103" t="s">
        <v>2159</v>
      </c>
      <c r="F1105" s="103">
        <v>35.792684000000001</v>
      </c>
      <c r="G1105" s="103">
        <v>42.684221999999998</v>
      </c>
      <c r="H1105" s="102">
        <v>93</v>
      </c>
      <c r="I1105" s="102">
        <v>558</v>
      </c>
      <c r="J1105" s="103"/>
      <c r="K1105" s="103"/>
      <c r="L1105" s="103"/>
      <c r="M1105" s="103">
        <v>90</v>
      </c>
      <c r="N1105" s="103">
        <v>3</v>
      </c>
      <c r="O1105" s="103"/>
      <c r="P1105" s="103"/>
      <c r="Q1105" s="103"/>
      <c r="R1105" s="103"/>
      <c r="S1105" s="103"/>
      <c r="T1105" s="103"/>
      <c r="U1105" s="103"/>
      <c r="V1105" s="103"/>
      <c r="W1105" s="103"/>
      <c r="X1105" s="103"/>
      <c r="Y1105" s="103"/>
      <c r="Z1105" s="103"/>
      <c r="AA1105" s="103"/>
      <c r="AB1105" s="103"/>
      <c r="AC1105" s="103"/>
      <c r="AD1105" s="103"/>
      <c r="AE1105" s="103"/>
      <c r="AF1105" s="103"/>
      <c r="AG1105" s="103">
        <v>93</v>
      </c>
      <c r="AH1105" s="103"/>
      <c r="AI1105" s="103"/>
      <c r="AJ1105" s="103"/>
      <c r="AK1105" s="103"/>
      <c r="AL1105" s="103"/>
      <c r="AM1105" s="103"/>
      <c r="AN1105" s="103"/>
      <c r="AO1105" s="103"/>
      <c r="AP1105" s="103"/>
      <c r="AQ1105" s="103"/>
      <c r="AR1105" s="103"/>
      <c r="AS1105" s="103">
        <v>93</v>
      </c>
      <c r="AT1105" s="103"/>
      <c r="AU1105" s="103"/>
      <c r="AV1105" s="103"/>
      <c r="AW1105" s="104" t="str">
        <f>HYPERLINK("http://www.openstreetmap.org/?mlat=35.7927&amp;mlon=42.6842&amp;zoom=12#map=12/35.7927/42.6842","Maplink1")</f>
        <v>Maplink1</v>
      </c>
      <c r="AX1105" s="104" t="str">
        <f>HYPERLINK("https://www.google.iq/maps/search/+35.7927,42.6842/@35.7927,42.6842,14z?hl=en","Maplink2")</f>
        <v>Maplink2</v>
      </c>
      <c r="AY1105" s="104" t="str">
        <f>HYPERLINK("http://www.bing.com/maps/?lvl=14&amp;sty=h&amp;cp=35.7927~42.6842&amp;sp=point.35.7927_42.6842","Maplink3")</f>
        <v>Maplink3</v>
      </c>
    </row>
    <row r="1106" spans="1:51" x14ac:dyDescent="0.2">
      <c r="A1106" s="102">
        <v>33164</v>
      </c>
      <c r="B1106" s="103" t="s">
        <v>35</v>
      </c>
      <c r="C1106" s="103" t="s">
        <v>101</v>
      </c>
      <c r="D1106" s="103" t="s">
        <v>2238</v>
      </c>
      <c r="E1106" s="103" t="s">
        <v>2239</v>
      </c>
      <c r="F1106" s="103">
        <v>35.617021950900003</v>
      </c>
      <c r="G1106" s="103">
        <v>42.988970702099998</v>
      </c>
      <c r="H1106" s="102">
        <v>63</v>
      </c>
      <c r="I1106" s="102">
        <v>378</v>
      </c>
      <c r="J1106" s="103"/>
      <c r="K1106" s="103"/>
      <c r="L1106" s="103"/>
      <c r="M1106" s="103">
        <v>61</v>
      </c>
      <c r="N1106" s="103">
        <v>2</v>
      </c>
      <c r="O1106" s="103"/>
      <c r="P1106" s="103"/>
      <c r="Q1106" s="103"/>
      <c r="R1106" s="103"/>
      <c r="S1106" s="103"/>
      <c r="T1106" s="103"/>
      <c r="U1106" s="103"/>
      <c r="V1106" s="103"/>
      <c r="W1106" s="103"/>
      <c r="X1106" s="103"/>
      <c r="Y1106" s="103"/>
      <c r="Z1106" s="103"/>
      <c r="AA1106" s="103">
        <v>10</v>
      </c>
      <c r="AB1106" s="103"/>
      <c r="AC1106" s="103">
        <v>3</v>
      </c>
      <c r="AD1106" s="103"/>
      <c r="AE1106" s="103"/>
      <c r="AF1106" s="103"/>
      <c r="AG1106" s="103"/>
      <c r="AH1106" s="103"/>
      <c r="AI1106" s="103">
        <v>50</v>
      </c>
      <c r="AJ1106" s="103"/>
      <c r="AK1106" s="103"/>
      <c r="AL1106" s="103"/>
      <c r="AM1106" s="103"/>
      <c r="AN1106" s="103"/>
      <c r="AO1106" s="103"/>
      <c r="AP1106" s="103"/>
      <c r="AQ1106" s="103"/>
      <c r="AR1106" s="103">
        <v>63</v>
      </c>
      <c r="AS1106" s="103"/>
      <c r="AT1106" s="103"/>
      <c r="AU1106" s="103"/>
      <c r="AV1106" s="103"/>
      <c r="AW1106" s="104" t="str">
        <f>HYPERLINK("http://www.openstreetmap.org/?mlat=35.617&amp;mlon=42.989&amp;zoom=12#map=12/35.617/42.989","Maplink1")</f>
        <v>Maplink1</v>
      </c>
      <c r="AX1106" s="104" t="str">
        <f>HYPERLINK("https://www.google.iq/maps/search/+35.617,42.989/@35.617,42.989,14z?hl=en","Maplink2")</f>
        <v>Maplink2</v>
      </c>
      <c r="AY1106" s="104" t="str">
        <f>HYPERLINK("http://www.bing.com/maps/?lvl=14&amp;sty=h&amp;cp=35.617~42.989&amp;sp=point.35.617_42.989","Maplink3")</f>
        <v>Maplink3</v>
      </c>
    </row>
    <row r="1107" spans="1:51" x14ac:dyDescent="0.2">
      <c r="A1107" s="102">
        <v>33971</v>
      </c>
      <c r="B1107" s="103" t="s">
        <v>35</v>
      </c>
      <c r="C1107" s="103" t="s">
        <v>101</v>
      </c>
      <c r="D1107" s="103" t="s">
        <v>2240</v>
      </c>
      <c r="E1107" s="103" t="s">
        <v>2241</v>
      </c>
      <c r="F1107" s="103">
        <v>35.620488999999999</v>
      </c>
      <c r="G1107" s="103">
        <v>42.961221999999999</v>
      </c>
      <c r="H1107" s="102">
        <v>24</v>
      </c>
      <c r="I1107" s="102">
        <v>144</v>
      </c>
      <c r="J1107" s="103"/>
      <c r="K1107" s="103"/>
      <c r="L1107" s="103"/>
      <c r="M1107" s="103">
        <v>24</v>
      </c>
      <c r="N1107" s="103"/>
      <c r="O1107" s="103"/>
      <c r="P1107" s="103"/>
      <c r="Q1107" s="103"/>
      <c r="R1107" s="103"/>
      <c r="S1107" s="103"/>
      <c r="T1107" s="103"/>
      <c r="U1107" s="103"/>
      <c r="V1107" s="103"/>
      <c r="W1107" s="103"/>
      <c r="X1107" s="103"/>
      <c r="Y1107" s="103"/>
      <c r="Z1107" s="103"/>
      <c r="AA1107" s="103"/>
      <c r="AB1107" s="103"/>
      <c r="AC1107" s="103"/>
      <c r="AD1107" s="103"/>
      <c r="AE1107" s="103"/>
      <c r="AF1107" s="103"/>
      <c r="AG1107" s="103">
        <v>24</v>
      </c>
      <c r="AH1107" s="103"/>
      <c r="AI1107" s="103"/>
      <c r="AJ1107" s="103"/>
      <c r="AK1107" s="103"/>
      <c r="AL1107" s="103"/>
      <c r="AM1107" s="103"/>
      <c r="AN1107" s="103"/>
      <c r="AO1107" s="103"/>
      <c r="AP1107" s="103"/>
      <c r="AQ1107" s="103"/>
      <c r="AR1107" s="103"/>
      <c r="AS1107" s="103">
        <v>24</v>
      </c>
      <c r="AT1107" s="103"/>
      <c r="AU1107" s="103"/>
      <c r="AV1107" s="103"/>
      <c r="AW1107" s="104" t="str">
        <f>HYPERLINK("http://www.openstreetmap.org/?mlat=35.6205&amp;mlon=42.9612&amp;zoom=12#map=12/35.6205/42.9612","Maplink1")</f>
        <v>Maplink1</v>
      </c>
      <c r="AX1107" s="104" t="str">
        <f>HYPERLINK("https://www.google.iq/maps/search/+35.6205,42.9612/@35.6205,42.9612,14z?hl=en","Maplink2")</f>
        <v>Maplink2</v>
      </c>
      <c r="AY1107" s="104" t="str">
        <f>HYPERLINK("http://www.bing.com/maps/?lvl=14&amp;sty=h&amp;cp=35.6205~42.9612&amp;sp=point.35.6205_42.9612","Maplink3")</f>
        <v>Maplink3</v>
      </c>
    </row>
    <row r="1108" spans="1:51" x14ac:dyDescent="0.2">
      <c r="A1108" s="102">
        <v>33985</v>
      </c>
      <c r="B1108" s="103" t="s">
        <v>35</v>
      </c>
      <c r="C1108" s="103" t="s">
        <v>101</v>
      </c>
      <c r="D1108" s="103" t="s">
        <v>2242</v>
      </c>
      <c r="E1108" s="103" t="s">
        <v>2243</v>
      </c>
      <c r="F1108" s="103">
        <v>35.927059</v>
      </c>
      <c r="G1108" s="103">
        <v>42.276758999999998</v>
      </c>
      <c r="H1108" s="102">
        <v>7</v>
      </c>
      <c r="I1108" s="102">
        <v>42</v>
      </c>
      <c r="J1108" s="103"/>
      <c r="K1108" s="103"/>
      <c r="L1108" s="103"/>
      <c r="M1108" s="103">
        <v>7</v>
      </c>
      <c r="N1108" s="103"/>
      <c r="O1108" s="103"/>
      <c r="P1108" s="103"/>
      <c r="Q1108" s="103"/>
      <c r="R1108" s="103"/>
      <c r="S1108" s="103"/>
      <c r="T1108" s="103"/>
      <c r="U1108" s="103"/>
      <c r="V1108" s="103"/>
      <c r="W1108" s="103"/>
      <c r="X1108" s="103"/>
      <c r="Y1108" s="103"/>
      <c r="Z1108" s="103"/>
      <c r="AA1108" s="103"/>
      <c r="AB1108" s="103"/>
      <c r="AC1108" s="103"/>
      <c r="AD1108" s="103"/>
      <c r="AE1108" s="103"/>
      <c r="AF1108" s="103"/>
      <c r="AG1108" s="103">
        <v>7</v>
      </c>
      <c r="AH1108" s="103"/>
      <c r="AI1108" s="103"/>
      <c r="AJ1108" s="103"/>
      <c r="AK1108" s="103"/>
      <c r="AL1108" s="103"/>
      <c r="AM1108" s="103"/>
      <c r="AN1108" s="103"/>
      <c r="AO1108" s="103"/>
      <c r="AP1108" s="103"/>
      <c r="AQ1108" s="103"/>
      <c r="AR1108" s="103"/>
      <c r="AS1108" s="103">
        <v>7</v>
      </c>
      <c r="AT1108" s="103"/>
      <c r="AU1108" s="103"/>
      <c r="AV1108" s="103"/>
      <c r="AW1108" s="104" t="str">
        <f>HYPERLINK("http://www.openstreetmap.org/?mlat=35.9271&amp;mlon=42.2768&amp;zoom=12#map=12/35.9271/42.2768","Maplink1")</f>
        <v>Maplink1</v>
      </c>
      <c r="AX1108" s="104" t="str">
        <f>HYPERLINK("https://www.google.iq/maps/search/+35.9271,42.2768/@35.9271,42.2768,14z?hl=en","Maplink2")</f>
        <v>Maplink2</v>
      </c>
      <c r="AY1108" s="104" t="str">
        <f>HYPERLINK("http://www.bing.com/maps/?lvl=14&amp;sty=h&amp;cp=35.9271~42.2768&amp;sp=point.35.9271_42.2768","Maplink3")</f>
        <v>Maplink3</v>
      </c>
    </row>
    <row r="1109" spans="1:51" x14ac:dyDescent="0.2">
      <c r="A1109" s="102">
        <v>33116</v>
      </c>
      <c r="B1109" s="103" t="s">
        <v>35</v>
      </c>
      <c r="C1109" s="103" t="s">
        <v>101</v>
      </c>
      <c r="D1109" s="103" t="s">
        <v>2168</v>
      </c>
      <c r="E1109" s="103" t="s">
        <v>2169</v>
      </c>
      <c r="F1109" s="103">
        <v>35.773459821899998</v>
      </c>
      <c r="G1109" s="103">
        <v>42.971920511500002</v>
      </c>
      <c r="H1109" s="102">
        <v>27</v>
      </c>
      <c r="I1109" s="102">
        <v>162</v>
      </c>
      <c r="J1109" s="103"/>
      <c r="K1109" s="103"/>
      <c r="L1109" s="103"/>
      <c r="M1109" s="103">
        <v>23</v>
      </c>
      <c r="N1109" s="103">
        <v>4</v>
      </c>
      <c r="O1109" s="103"/>
      <c r="P1109" s="103"/>
      <c r="Q1109" s="103"/>
      <c r="R1109" s="103"/>
      <c r="S1109" s="103"/>
      <c r="T1109" s="103"/>
      <c r="U1109" s="103"/>
      <c r="V1109" s="103"/>
      <c r="W1109" s="103"/>
      <c r="X1109" s="103"/>
      <c r="Y1109" s="103"/>
      <c r="Z1109" s="103"/>
      <c r="AA1109" s="103"/>
      <c r="AB1109" s="103"/>
      <c r="AC1109" s="103"/>
      <c r="AD1109" s="103"/>
      <c r="AE1109" s="103"/>
      <c r="AF1109" s="103"/>
      <c r="AG1109" s="103">
        <v>10</v>
      </c>
      <c r="AH1109" s="103"/>
      <c r="AI1109" s="103">
        <v>17</v>
      </c>
      <c r="AJ1109" s="103"/>
      <c r="AK1109" s="103"/>
      <c r="AL1109" s="103"/>
      <c r="AM1109" s="103"/>
      <c r="AN1109" s="103"/>
      <c r="AO1109" s="103"/>
      <c r="AP1109" s="103"/>
      <c r="AQ1109" s="103"/>
      <c r="AR1109" s="103">
        <v>27</v>
      </c>
      <c r="AS1109" s="103"/>
      <c r="AT1109" s="103"/>
      <c r="AU1109" s="103"/>
      <c r="AV1109" s="103"/>
      <c r="AW1109" s="104" t="str">
        <f>HYPERLINK("http://www.openstreetmap.org/?mlat=35.7735&amp;mlon=42.9719&amp;zoom=12#map=12/35.7735/42.9719","Maplink1")</f>
        <v>Maplink1</v>
      </c>
      <c r="AX1109" s="104" t="str">
        <f>HYPERLINK("https://www.google.iq/maps/search/+35.7735,42.9719/@35.7735,42.9719,14z?hl=en","Maplink2")</f>
        <v>Maplink2</v>
      </c>
      <c r="AY1109" s="104" t="str">
        <f>HYPERLINK("http://www.bing.com/maps/?lvl=14&amp;sty=h&amp;cp=35.7735~42.9719&amp;sp=point.35.7735_42.9719","Maplink3")</f>
        <v>Maplink3</v>
      </c>
    </row>
    <row r="1110" spans="1:51" x14ac:dyDescent="0.2">
      <c r="A1110" s="102">
        <v>33114</v>
      </c>
      <c r="B1110" s="103" t="s">
        <v>35</v>
      </c>
      <c r="C1110" s="103" t="s">
        <v>101</v>
      </c>
      <c r="D1110" s="103" t="s">
        <v>2170</v>
      </c>
      <c r="E1110" s="103" t="s">
        <v>2171</v>
      </c>
      <c r="F1110" s="103">
        <v>35.7873010263</v>
      </c>
      <c r="G1110" s="103">
        <v>42.999642929799997</v>
      </c>
      <c r="H1110" s="102">
        <v>140</v>
      </c>
      <c r="I1110" s="102">
        <v>840</v>
      </c>
      <c r="J1110" s="103"/>
      <c r="K1110" s="103"/>
      <c r="L1110" s="103"/>
      <c r="M1110" s="103">
        <v>133</v>
      </c>
      <c r="N1110" s="103">
        <v>7</v>
      </c>
      <c r="O1110" s="103"/>
      <c r="P1110" s="103"/>
      <c r="Q1110" s="103"/>
      <c r="R1110" s="103"/>
      <c r="S1110" s="103"/>
      <c r="T1110" s="103"/>
      <c r="U1110" s="103"/>
      <c r="V1110" s="103"/>
      <c r="W1110" s="103"/>
      <c r="X1110" s="103"/>
      <c r="Y1110" s="103"/>
      <c r="Z1110" s="103"/>
      <c r="AA1110" s="103"/>
      <c r="AB1110" s="103"/>
      <c r="AC1110" s="103"/>
      <c r="AD1110" s="103"/>
      <c r="AE1110" s="103"/>
      <c r="AF1110" s="103"/>
      <c r="AG1110" s="103">
        <v>131</v>
      </c>
      <c r="AH1110" s="103"/>
      <c r="AI1110" s="103"/>
      <c r="AJ1110" s="103">
        <v>9</v>
      </c>
      <c r="AK1110" s="103"/>
      <c r="AL1110" s="103"/>
      <c r="AM1110" s="103"/>
      <c r="AN1110" s="103"/>
      <c r="AO1110" s="103"/>
      <c r="AP1110" s="103"/>
      <c r="AQ1110" s="103"/>
      <c r="AR1110" s="103">
        <v>5</v>
      </c>
      <c r="AS1110" s="103"/>
      <c r="AT1110" s="103">
        <v>135</v>
      </c>
      <c r="AU1110" s="103"/>
      <c r="AV1110" s="103"/>
      <c r="AW1110" s="104" t="str">
        <f>HYPERLINK("http://www.openstreetmap.org/?mlat=35.7873&amp;mlon=42.9996&amp;zoom=12#map=12/35.7873/42.9996","Maplink1")</f>
        <v>Maplink1</v>
      </c>
      <c r="AX1110" s="104" t="str">
        <f>HYPERLINK("https://www.google.iq/maps/search/+35.7873,42.9996/@35.7873,42.9996,14z?hl=en","Maplink2")</f>
        <v>Maplink2</v>
      </c>
      <c r="AY1110" s="104" t="str">
        <f>HYPERLINK("http://www.bing.com/maps/?lvl=14&amp;sty=h&amp;cp=35.7873~42.9996&amp;sp=point.35.7873_42.9996","Maplink3")</f>
        <v>Maplink3</v>
      </c>
    </row>
    <row r="1111" spans="1:51" x14ac:dyDescent="0.2">
      <c r="A1111" s="102">
        <v>33392</v>
      </c>
      <c r="B1111" s="103" t="s">
        <v>35</v>
      </c>
      <c r="C1111" s="103" t="s">
        <v>101</v>
      </c>
      <c r="D1111" s="103" t="s">
        <v>2172</v>
      </c>
      <c r="E1111" s="103" t="s">
        <v>2173</v>
      </c>
      <c r="F1111" s="103">
        <v>36.008800999999998</v>
      </c>
      <c r="G1111" s="103">
        <v>42.321123604599997</v>
      </c>
      <c r="H1111" s="102">
        <v>125</v>
      </c>
      <c r="I1111" s="102">
        <v>750</v>
      </c>
      <c r="J1111" s="103"/>
      <c r="K1111" s="103"/>
      <c r="L1111" s="103"/>
      <c r="M1111" s="103">
        <v>90</v>
      </c>
      <c r="N1111" s="103">
        <v>35</v>
      </c>
      <c r="O1111" s="103"/>
      <c r="P1111" s="103"/>
      <c r="Q1111" s="103"/>
      <c r="R1111" s="103"/>
      <c r="S1111" s="103"/>
      <c r="T1111" s="103"/>
      <c r="U1111" s="103"/>
      <c r="V1111" s="103"/>
      <c r="W1111" s="103"/>
      <c r="X1111" s="103"/>
      <c r="Y1111" s="103"/>
      <c r="Z1111" s="103"/>
      <c r="AA1111" s="103"/>
      <c r="AB1111" s="103"/>
      <c r="AC1111" s="103"/>
      <c r="AD1111" s="103"/>
      <c r="AE1111" s="103"/>
      <c r="AF1111" s="103"/>
      <c r="AG1111" s="103">
        <v>125</v>
      </c>
      <c r="AH1111" s="103"/>
      <c r="AI1111" s="103"/>
      <c r="AJ1111" s="103"/>
      <c r="AK1111" s="103"/>
      <c r="AL1111" s="103"/>
      <c r="AM1111" s="103"/>
      <c r="AN1111" s="103"/>
      <c r="AO1111" s="103"/>
      <c r="AP1111" s="103"/>
      <c r="AQ1111" s="103"/>
      <c r="AR1111" s="103"/>
      <c r="AS1111" s="103">
        <v>125</v>
      </c>
      <c r="AT1111" s="103"/>
      <c r="AU1111" s="103"/>
      <c r="AV1111" s="103"/>
      <c r="AW1111" s="104" t="str">
        <f>HYPERLINK("http://www.openstreetmap.org/?mlat=36.0088&amp;mlon=42.3211&amp;zoom=12#map=12/36.0088/42.3211","Maplink1")</f>
        <v>Maplink1</v>
      </c>
      <c r="AX1111" s="104" t="str">
        <f>HYPERLINK("https://www.google.iq/maps/search/+36.0088,42.3211/@36.0088,42.3211,14z?hl=en","Maplink2")</f>
        <v>Maplink2</v>
      </c>
      <c r="AY1111" s="104" t="str">
        <f>HYPERLINK("http://www.bing.com/maps/?lvl=14&amp;sty=h&amp;cp=36.0088~42.3211&amp;sp=point.36.0088_42.3211","Maplink3")</f>
        <v>Maplink3</v>
      </c>
    </row>
    <row r="1112" spans="1:51" x14ac:dyDescent="0.2">
      <c r="A1112" s="102">
        <v>33980</v>
      </c>
      <c r="B1112" s="103" t="s">
        <v>35</v>
      </c>
      <c r="C1112" s="103" t="s">
        <v>101</v>
      </c>
      <c r="D1112" s="103" t="s">
        <v>2174</v>
      </c>
      <c r="E1112" s="103" t="s">
        <v>2175</v>
      </c>
      <c r="F1112" s="103">
        <v>35.823065999999997</v>
      </c>
      <c r="G1112" s="103">
        <v>42.356335000000001</v>
      </c>
      <c r="H1112" s="102">
        <v>10</v>
      </c>
      <c r="I1112" s="102">
        <v>60</v>
      </c>
      <c r="J1112" s="103"/>
      <c r="K1112" s="103"/>
      <c r="L1112" s="103"/>
      <c r="M1112" s="103">
        <v>10</v>
      </c>
      <c r="N1112" s="103"/>
      <c r="O1112" s="103"/>
      <c r="P1112" s="103"/>
      <c r="Q1112" s="103"/>
      <c r="R1112" s="103"/>
      <c r="S1112" s="103"/>
      <c r="T1112" s="103"/>
      <c r="U1112" s="103"/>
      <c r="V1112" s="103"/>
      <c r="W1112" s="103"/>
      <c r="X1112" s="103"/>
      <c r="Y1112" s="103"/>
      <c r="Z1112" s="103"/>
      <c r="AA1112" s="103"/>
      <c r="AB1112" s="103"/>
      <c r="AC1112" s="103"/>
      <c r="AD1112" s="103"/>
      <c r="AE1112" s="103"/>
      <c r="AF1112" s="103"/>
      <c r="AG1112" s="103">
        <v>10</v>
      </c>
      <c r="AH1112" s="103"/>
      <c r="AI1112" s="103"/>
      <c r="AJ1112" s="103"/>
      <c r="AK1112" s="103"/>
      <c r="AL1112" s="103"/>
      <c r="AM1112" s="103"/>
      <c r="AN1112" s="103"/>
      <c r="AO1112" s="103"/>
      <c r="AP1112" s="103"/>
      <c r="AQ1112" s="103"/>
      <c r="AR1112" s="103"/>
      <c r="AS1112" s="103">
        <v>10</v>
      </c>
      <c r="AT1112" s="103"/>
      <c r="AU1112" s="103"/>
      <c r="AV1112" s="103"/>
      <c r="AW1112" s="104" t="str">
        <f>HYPERLINK("http://www.openstreetmap.org/?mlat=35.8231&amp;mlon=42.3563&amp;zoom=12#map=12/35.8231/42.3563","Maplink1")</f>
        <v>Maplink1</v>
      </c>
      <c r="AX1112" s="104" t="str">
        <f>HYPERLINK("https://www.google.iq/maps/search/+35.8231,42.3563/@35.8231,42.3563,14z?hl=en","Maplink2")</f>
        <v>Maplink2</v>
      </c>
      <c r="AY1112" s="104" t="str">
        <f>HYPERLINK("http://www.bing.com/maps/?lvl=14&amp;sty=h&amp;cp=35.8231~42.3563&amp;sp=point.35.8231_42.3563","Maplink3")</f>
        <v>Maplink3</v>
      </c>
    </row>
    <row r="1113" spans="1:51" x14ac:dyDescent="0.2">
      <c r="A1113" s="102">
        <v>33979</v>
      </c>
      <c r="B1113" s="103" t="s">
        <v>35</v>
      </c>
      <c r="C1113" s="103" t="s">
        <v>101</v>
      </c>
      <c r="D1113" s="103" t="s">
        <v>2164</v>
      </c>
      <c r="E1113" s="103" t="s">
        <v>2165</v>
      </c>
      <c r="F1113" s="103">
        <v>36.018889999999999</v>
      </c>
      <c r="G1113" s="103">
        <v>42.309150000000002</v>
      </c>
      <c r="H1113" s="102">
        <v>15</v>
      </c>
      <c r="I1113" s="102">
        <v>90</v>
      </c>
      <c r="J1113" s="103"/>
      <c r="K1113" s="103"/>
      <c r="L1113" s="103"/>
      <c r="M1113" s="103">
        <v>15</v>
      </c>
      <c r="N1113" s="103"/>
      <c r="O1113" s="103"/>
      <c r="P1113" s="103"/>
      <c r="Q1113" s="103"/>
      <c r="R1113" s="103"/>
      <c r="S1113" s="103"/>
      <c r="T1113" s="103"/>
      <c r="U1113" s="103"/>
      <c r="V1113" s="103"/>
      <c r="W1113" s="103"/>
      <c r="X1113" s="103"/>
      <c r="Y1113" s="103"/>
      <c r="Z1113" s="103"/>
      <c r="AA1113" s="103"/>
      <c r="AB1113" s="103"/>
      <c r="AC1113" s="103"/>
      <c r="AD1113" s="103"/>
      <c r="AE1113" s="103"/>
      <c r="AF1113" s="103"/>
      <c r="AG1113" s="103">
        <v>15</v>
      </c>
      <c r="AH1113" s="103"/>
      <c r="AI1113" s="103"/>
      <c r="AJ1113" s="103"/>
      <c r="AK1113" s="103"/>
      <c r="AL1113" s="103"/>
      <c r="AM1113" s="103"/>
      <c r="AN1113" s="103"/>
      <c r="AO1113" s="103"/>
      <c r="AP1113" s="103"/>
      <c r="AQ1113" s="103"/>
      <c r="AR1113" s="103"/>
      <c r="AS1113" s="103">
        <v>15</v>
      </c>
      <c r="AT1113" s="103"/>
      <c r="AU1113" s="103"/>
      <c r="AV1113" s="103"/>
      <c r="AW1113" s="104" t="str">
        <f>HYPERLINK("http://www.openstreetmap.org/?mlat=36.0189&amp;mlon=42.3092&amp;zoom=12#map=12/36.0189/42.3092","Maplink1")</f>
        <v>Maplink1</v>
      </c>
      <c r="AX1113" s="104" t="str">
        <f>HYPERLINK("https://www.google.iq/maps/search/+36.0189,42.3092/@36.0189,42.3092,14z?hl=en","Maplink2")</f>
        <v>Maplink2</v>
      </c>
      <c r="AY1113" s="104" t="str">
        <f>HYPERLINK("http://www.bing.com/maps/?lvl=14&amp;sty=h&amp;cp=36.0189~42.3092&amp;sp=point.36.0189_42.3092","Maplink3")</f>
        <v>Maplink3</v>
      </c>
    </row>
    <row r="1114" spans="1:51" x14ac:dyDescent="0.2">
      <c r="A1114" s="102">
        <v>33736</v>
      </c>
      <c r="B1114" s="103" t="s">
        <v>35</v>
      </c>
      <c r="C1114" s="103" t="s">
        <v>101</v>
      </c>
      <c r="D1114" s="103" t="s">
        <v>2166</v>
      </c>
      <c r="E1114" s="103" t="s">
        <v>2167</v>
      </c>
      <c r="F1114" s="103">
        <v>36.031734999999998</v>
      </c>
      <c r="G1114" s="103">
        <v>42.510089000000001</v>
      </c>
      <c r="H1114" s="102">
        <v>20</v>
      </c>
      <c r="I1114" s="102">
        <v>120</v>
      </c>
      <c r="J1114" s="103"/>
      <c r="K1114" s="103"/>
      <c r="L1114" s="103"/>
      <c r="M1114" s="103">
        <v>20</v>
      </c>
      <c r="N1114" s="103"/>
      <c r="O1114" s="103"/>
      <c r="P1114" s="103"/>
      <c r="Q1114" s="103"/>
      <c r="R1114" s="103"/>
      <c r="S1114" s="103"/>
      <c r="T1114" s="103"/>
      <c r="U1114" s="103"/>
      <c r="V1114" s="103"/>
      <c r="W1114" s="103"/>
      <c r="X1114" s="103"/>
      <c r="Y1114" s="103"/>
      <c r="Z1114" s="103"/>
      <c r="AA1114" s="103"/>
      <c r="AB1114" s="103"/>
      <c r="AC1114" s="103"/>
      <c r="AD1114" s="103"/>
      <c r="AE1114" s="103"/>
      <c r="AF1114" s="103"/>
      <c r="AG1114" s="103">
        <v>20</v>
      </c>
      <c r="AH1114" s="103"/>
      <c r="AI1114" s="103"/>
      <c r="AJ1114" s="103"/>
      <c r="AK1114" s="103"/>
      <c r="AL1114" s="103"/>
      <c r="AM1114" s="103"/>
      <c r="AN1114" s="103"/>
      <c r="AO1114" s="103"/>
      <c r="AP1114" s="103"/>
      <c r="AQ1114" s="103"/>
      <c r="AR1114" s="103"/>
      <c r="AS1114" s="103">
        <v>20</v>
      </c>
      <c r="AT1114" s="103"/>
      <c r="AU1114" s="103"/>
      <c r="AV1114" s="103"/>
      <c r="AW1114" s="104" t="str">
        <f>HYPERLINK("http://www.openstreetmap.org/?mlat=36.0317&amp;mlon=42.5101&amp;zoom=12#map=12/36.0317/42.5101","Maplink1")</f>
        <v>Maplink1</v>
      </c>
      <c r="AX1114" s="104" t="str">
        <f>HYPERLINK("https://www.google.iq/maps/search/+36.0317,42.5101/@36.0317,42.5101,14z?hl=en","Maplink2")</f>
        <v>Maplink2</v>
      </c>
      <c r="AY1114" s="104" t="str">
        <f>HYPERLINK("http://www.bing.com/maps/?lvl=14&amp;sty=h&amp;cp=36.0317~42.5101&amp;sp=point.36.0317_42.5101","Maplink3")</f>
        <v>Maplink3</v>
      </c>
    </row>
    <row r="1115" spans="1:51" x14ac:dyDescent="0.2">
      <c r="A1115" s="102">
        <v>27271</v>
      </c>
      <c r="B1115" s="103" t="s">
        <v>35</v>
      </c>
      <c r="C1115" s="103" t="s">
        <v>101</v>
      </c>
      <c r="D1115" s="103" t="s">
        <v>2256</v>
      </c>
      <c r="E1115" s="103" t="s">
        <v>2257</v>
      </c>
      <c r="F1115" s="103">
        <v>35.946129834099999</v>
      </c>
      <c r="G1115" s="103">
        <v>42.571826101500001</v>
      </c>
      <c r="H1115" s="102">
        <v>2400</v>
      </c>
      <c r="I1115" s="102">
        <v>14400</v>
      </c>
      <c r="J1115" s="103"/>
      <c r="K1115" s="103"/>
      <c r="L1115" s="103"/>
      <c r="M1115" s="103">
        <v>2370</v>
      </c>
      <c r="N1115" s="103">
        <v>30</v>
      </c>
      <c r="O1115" s="103"/>
      <c r="P1115" s="103"/>
      <c r="Q1115" s="103"/>
      <c r="R1115" s="103"/>
      <c r="S1115" s="103"/>
      <c r="T1115" s="103"/>
      <c r="U1115" s="103"/>
      <c r="V1115" s="103"/>
      <c r="W1115" s="103"/>
      <c r="X1115" s="103"/>
      <c r="Y1115" s="103"/>
      <c r="Z1115" s="103"/>
      <c r="AA1115" s="103">
        <v>10</v>
      </c>
      <c r="AB1115" s="103"/>
      <c r="AC1115" s="103"/>
      <c r="AD1115" s="103"/>
      <c r="AE1115" s="103"/>
      <c r="AF1115" s="103"/>
      <c r="AG1115" s="103">
        <v>2390</v>
      </c>
      <c r="AH1115" s="103"/>
      <c r="AI1115" s="103"/>
      <c r="AJ1115" s="103"/>
      <c r="AK1115" s="103"/>
      <c r="AL1115" s="103"/>
      <c r="AM1115" s="103"/>
      <c r="AN1115" s="103"/>
      <c r="AO1115" s="103"/>
      <c r="AP1115" s="103"/>
      <c r="AQ1115" s="103"/>
      <c r="AR1115" s="103"/>
      <c r="AS1115" s="103">
        <v>2400</v>
      </c>
      <c r="AT1115" s="103"/>
      <c r="AU1115" s="103"/>
      <c r="AV1115" s="103"/>
      <c r="AW1115" s="104" t="str">
        <f>HYPERLINK("http://www.openstreetmap.org/?mlat=35.9461&amp;mlon=42.5718&amp;zoom=12#map=12/35.9461/42.5718","Maplink1")</f>
        <v>Maplink1</v>
      </c>
      <c r="AX1115" s="104" t="str">
        <f>HYPERLINK("https://www.google.iq/maps/search/+35.9461,42.5718/@35.9461,42.5718,14z?hl=en","Maplink2")</f>
        <v>Maplink2</v>
      </c>
      <c r="AY1115" s="104" t="str">
        <f>HYPERLINK("http://www.bing.com/maps/?lvl=14&amp;sty=h&amp;cp=35.9461~42.5718&amp;sp=point.35.9461_42.5718","Maplink3")</f>
        <v>Maplink3</v>
      </c>
    </row>
    <row r="1116" spans="1:51" x14ac:dyDescent="0.2">
      <c r="A1116" s="102">
        <v>33638</v>
      </c>
      <c r="B1116" s="103" t="s">
        <v>35</v>
      </c>
      <c r="C1116" s="103" t="s">
        <v>101</v>
      </c>
      <c r="D1116" s="103" t="s">
        <v>2258</v>
      </c>
      <c r="E1116" s="103" t="s">
        <v>2259</v>
      </c>
      <c r="F1116" s="103">
        <v>35.85971</v>
      </c>
      <c r="G1116" s="103">
        <v>42.30865</v>
      </c>
      <c r="H1116" s="102">
        <v>30</v>
      </c>
      <c r="I1116" s="102">
        <v>180</v>
      </c>
      <c r="J1116" s="103"/>
      <c r="K1116" s="103"/>
      <c r="L1116" s="103"/>
      <c r="M1116" s="103">
        <v>30</v>
      </c>
      <c r="N1116" s="103"/>
      <c r="O1116" s="103"/>
      <c r="P1116" s="103"/>
      <c r="Q1116" s="103"/>
      <c r="R1116" s="103"/>
      <c r="S1116" s="103"/>
      <c r="T1116" s="103"/>
      <c r="U1116" s="103"/>
      <c r="V1116" s="103"/>
      <c r="W1116" s="103"/>
      <c r="X1116" s="103"/>
      <c r="Y1116" s="103"/>
      <c r="Z1116" s="103"/>
      <c r="AA1116" s="103"/>
      <c r="AB1116" s="103"/>
      <c r="AC1116" s="103"/>
      <c r="AD1116" s="103"/>
      <c r="AE1116" s="103"/>
      <c r="AF1116" s="103"/>
      <c r="AG1116" s="103">
        <v>30</v>
      </c>
      <c r="AH1116" s="103"/>
      <c r="AI1116" s="103"/>
      <c r="AJ1116" s="103"/>
      <c r="AK1116" s="103"/>
      <c r="AL1116" s="103"/>
      <c r="AM1116" s="103"/>
      <c r="AN1116" s="103"/>
      <c r="AO1116" s="103"/>
      <c r="AP1116" s="103"/>
      <c r="AQ1116" s="103"/>
      <c r="AR1116" s="103"/>
      <c r="AS1116" s="103">
        <v>30</v>
      </c>
      <c r="AT1116" s="103"/>
      <c r="AU1116" s="103"/>
      <c r="AV1116" s="103"/>
      <c r="AW1116" s="104" t="str">
        <f>HYPERLINK("http://www.openstreetmap.org/?mlat=35.8597&amp;mlon=42.3087&amp;zoom=12#map=12/35.8597/42.3087","Maplink1")</f>
        <v>Maplink1</v>
      </c>
      <c r="AX1116" s="104" t="str">
        <f>HYPERLINK("https://www.google.iq/maps/search/+35.8597,42.3087/@35.8597,42.3087,14z?hl=en","Maplink2")</f>
        <v>Maplink2</v>
      </c>
      <c r="AY1116" s="104" t="str">
        <f>HYPERLINK("http://www.bing.com/maps/?lvl=14&amp;sty=h&amp;cp=35.8597~42.3087&amp;sp=point.35.8597_42.3087","Maplink3")</f>
        <v>Maplink3</v>
      </c>
    </row>
    <row r="1117" spans="1:51" x14ac:dyDescent="0.2">
      <c r="A1117" s="102">
        <v>33992</v>
      </c>
      <c r="B1117" s="103" t="s">
        <v>35</v>
      </c>
      <c r="C1117" s="103" t="s">
        <v>101</v>
      </c>
      <c r="D1117" s="103" t="s">
        <v>2260</v>
      </c>
      <c r="E1117" s="103" t="s">
        <v>2261</v>
      </c>
      <c r="F1117" s="103">
        <v>35.970435999999999</v>
      </c>
      <c r="G1117" s="103">
        <v>42.513689999999997</v>
      </c>
      <c r="H1117" s="102">
        <v>45</v>
      </c>
      <c r="I1117" s="102">
        <v>270</v>
      </c>
      <c r="J1117" s="103"/>
      <c r="K1117" s="103"/>
      <c r="L1117" s="103"/>
      <c r="M1117" s="103">
        <v>39</v>
      </c>
      <c r="N1117" s="103">
        <v>6</v>
      </c>
      <c r="O1117" s="103"/>
      <c r="P1117" s="103"/>
      <c r="Q1117" s="103"/>
      <c r="R1117" s="103"/>
      <c r="S1117" s="103"/>
      <c r="T1117" s="103"/>
      <c r="U1117" s="103"/>
      <c r="V1117" s="103"/>
      <c r="W1117" s="103"/>
      <c r="X1117" s="103"/>
      <c r="Y1117" s="103"/>
      <c r="Z1117" s="103"/>
      <c r="AA1117" s="103"/>
      <c r="AB1117" s="103"/>
      <c r="AC1117" s="103"/>
      <c r="AD1117" s="103"/>
      <c r="AE1117" s="103"/>
      <c r="AF1117" s="103"/>
      <c r="AG1117" s="103">
        <v>45</v>
      </c>
      <c r="AH1117" s="103"/>
      <c r="AI1117" s="103"/>
      <c r="AJ1117" s="103"/>
      <c r="AK1117" s="103"/>
      <c r="AL1117" s="103"/>
      <c r="AM1117" s="103"/>
      <c r="AN1117" s="103"/>
      <c r="AO1117" s="103"/>
      <c r="AP1117" s="103"/>
      <c r="AQ1117" s="103"/>
      <c r="AR1117" s="103"/>
      <c r="AS1117" s="103">
        <v>45</v>
      </c>
      <c r="AT1117" s="103"/>
      <c r="AU1117" s="103"/>
      <c r="AV1117" s="103"/>
      <c r="AW1117" s="104" t="str">
        <f>HYPERLINK("http://www.openstreetmap.org/?mlat=35.9704&amp;mlon=42.5137&amp;zoom=12#map=12/35.9704/42.5137","Maplink1")</f>
        <v>Maplink1</v>
      </c>
      <c r="AX1117" s="104" t="str">
        <f>HYPERLINK("https://www.google.iq/maps/search/+35.9704,42.5137/@35.9704,42.5137,14z?hl=en","Maplink2")</f>
        <v>Maplink2</v>
      </c>
      <c r="AY1117" s="104" t="str">
        <f>HYPERLINK("http://www.bing.com/maps/?lvl=14&amp;sty=h&amp;cp=35.9704~42.5137&amp;sp=point.35.9704_42.5137","Maplink3")</f>
        <v>Maplink3</v>
      </c>
    </row>
    <row r="1118" spans="1:51" x14ac:dyDescent="0.2">
      <c r="A1118" s="102">
        <v>33231</v>
      </c>
      <c r="B1118" s="103" t="s">
        <v>35</v>
      </c>
      <c r="C1118" s="103" t="s">
        <v>101</v>
      </c>
      <c r="D1118" s="103" t="s">
        <v>2293</v>
      </c>
      <c r="E1118" s="103" t="s">
        <v>2294</v>
      </c>
      <c r="F1118" s="103">
        <v>35.862017000000002</v>
      </c>
      <c r="G1118" s="103">
        <v>42.722095000000003</v>
      </c>
      <c r="H1118" s="102">
        <v>33</v>
      </c>
      <c r="I1118" s="102">
        <v>198</v>
      </c>
      <c r="J1118" s="103"/>
      <c r="K1118" s="103"/>
      <c r="L1118" s="103"/>
      <c r="M1118" s="103">
        <v>33</v>
      </c>
      <c r="N1118" s="103"/>
      <c r="O1118" s="103"/>
      <c r="P1118" s="103"/>
      <c r="Q1118" s="103"/>
      <c r="R1118" s="103"/>
      <c r="S1118" s="103"/>
      <c r="T1118" s="103"/>
      <c r="U1118" s="103"/>
      <c r="V1118" s="103"/>
      <c r="W1118" s="103"/>
      <c r="X1118" s="103"/>
      <c r="Y1118" s="103"/>
      <c r="Z1118" s="103"/>
      <c r="AA1118" s="103"/>
      <c r="AB1118" s="103"/>
      <c r="AC1118" s="103"/>
      <c r="AD1118" s="103"/>
      <c r="AE1118" s="103"/>
      <c r="AF1118" s="103"/>
      <c r="AG1118" s="103">
        <v>33</v>
      </c>
      <c r="AH1118" s="103"/>
      <c r="AI1118" s="103"/>
      <c r="AJ1118" s="103"/>
      <c r="AK1118" s="103"/>
      <c r="AL1118" s="103"/>
      <c r="AM1118" s="103"/>
      <c r="AN1118" s="103"/>
      <c r="AO1118" s="103"/>
      <c r="AP1118" s="103"/>
      <c r="AQ1118" s="103"/>
      <c r="AR1118" s="103"/>
      <c r="AS1118" s="103">
        <v>33</v>
      </c>
      <c r="AT1118" s="103"/>
      <c r="AU1118" s="103"/>
      <c r="AV1118" s="103"/>
      <c r="AW1118" s="104" t="str">
        <f>HYPERLINK("http://www.openstreetmap.org/?mlat=35.862&amp;mlon=42.7221&amp;zoom=12#map=12/35.862/42.7221","Maplink1")</f>
        <v>Maplink1</v>
      </c>
      <c r="AX1118" s="104" t="str">
        <f>HYPERLINK("https://www.google.iq/maps/search/+35.862,42.7221/@35.862,42.7221,14z?hl=en","Maplink2")</f>
        <v>Maplink2</v>
      </c>
      <c r="AY1118" s="104" t="str">
        <f>HYPERLINK("http://www.bing.com/maps/?lvl=14&amp;sty=h&amp;cp=35.862~42.7221&amp;sp=point.35.862_42.7221","Maplink3")</f>
        <v>Maplink3</v>
      </c>
    </row>
    <row r="1119" spans="1:51" x14ac:dyDescent="0.2">
      <c r="A1119" s="102">
        <v>33387</v>
      </c>
      <c r="B1119" s="103" t="s">
        <v>35</v>
      </c>
      <c r="C1119" s="103" t="s">
        <v>101</v>
      </c>
      <c r="D1119" s="103" t="s">
        <v>2295</v>
      </c>
      <c r="E1119" s="103" t="s">
        <v>2296</v>
      </c>
      <c r="F1119" s="103">
        <v>35.976573000000002</v>
      </c>
      <c r="G1119" s="103">
        <v>42.571835030999999</v>
      </c>
      <c r="H1119" s="102">
        <v>128</v>
      </c>
      <c r="I1119" s="102">
        <v>768</v>
      </c>
      <c r="J1119" s="103"/>
      <c r="K1119" s="103"/>
      <c r="L1119" s="103"/>
      <c r="M1119" s="103">
        <v>122</v>
      </c>
      <c r="N1119" s="103">
        <v>6</v>
      </c>
      <c r="O1119" s="103"/>
      <c r="P1119" s="103"/>
      <c r="Q1119" s="103"/>
      <c r="R1119" s="103"/>
      <c r="S1119" s="103"/>
      <c r="T1119" s="103"/>
      <c r="U1119" s="103"/>
      <c r="V1119" s="103"/>
      <c r="W1119" s="103"/>
      <c r="X1119" s="103"/>
      <c r="Y1119" s="103"/>
      <c r="Z1119" s="103"/>
      <c r="AA1119" s="103"/>
      <c r="AB1119" s="103"/>
      <c r="AC1119" s="103"/>
      <c r="AD1119" s="103"/>
      <c r="AE1119" s="103"/>
      <c r="AF1119" s="103"/>
      <c r="AG1119" s="103">
        <v>128</v>
      </c>
      <c r="AH1119" s="103"/>
      <c r="AI1119" s="103"/>
      <c r="AJ1119" s="103"/>
      <c r="AK1119" s="103"/>
      <c r="AL1119" s="103"/>
      <c r="AM1119" s="103"/>
      <c r="AN1119" s="103"/>
      <c r="AO1119" s="103"/>
      <c r="AP1119" s="103"/>
      <c r="AQ1119" s="103"/>
      <c r="AR1119" s="103"/>
      <c r="AS1119" s="103">
        <v>128</v>
      </c>
      <c r="AT1119" s="103"/>
      <c r="AU1119" s="103"/>
      <c r="AV1119" s="103"/>
      <c r="AW1119" s="104" t="str">
        <f>HYPERLINK("http://www.openstreetmap.org/?mlat=35.9766&amp;mlon=42.5718&amp;zoom=12#map=12/35.9766/42.5718","Maplink1")</f>
        <v>Maplink1</v>
      </c>
      <c r="AX1119" s="104" t="str">
        <f>HYPERLINK("https://www.google.iq/maps/search/+35.9766,42.5718/@35.9766,42.5718,14z?hl=en","Maplink2")</f>
        <v>Maplink2</v>
      </c>
      <c r="AY1119" s="104" t="str">
        <f>HYPERLINK("http://www.bing.com/maps/?lvl=14&amp;sty=h&amp;cp=35.9766~42.5718&amp;sp=point.35.9766_42.5718","Maplink3")</f>
        <v>Maplink3</v>
      </c>
    </row>
    <row r="1120" spans="1:51" x14ac:dyDescent="0.2">
      <c r="A1120" s="102">
        <v>33968</v>
      </c>
      <c r="B1120" s="103" t="s">
        <v>35</v>
      </c>
      <c r="C1120" s="103" t="s">
        <v>101</v>
      </c>
      <c r="D1120" s="103" t="s">
        <v>2297</v>
      </c>
      <c r="E1120" s="103" t="s">
        <v>2298</v>
      </c>
      <c r="F1120" s="103">
        <v>35.729188999999998</v>
      </c>
      <c r="G1120" s="103">
        <v>42.907671999999998</v>
      </c>
      <c r="H1120" s="102">
        <v>110</v>
      </c>
      <c r="I1120" s="102">
        <v>660</v>
      </c>
      <c r="J1120" s="103"/>
      <c r="K1120" s="103"/>
      <c r="L1120" s="103"/>
      <c r="M1120" s="103">
        <v>110</v>
      </c>
      <c r="N1120" s="103"/>
      <c r="O1120" s="103"/>
      <c r="P1120" s="103"/>
      <c r="Q1120" s="103"/>
      <c r="R1120" s="103"/>
      <c r="S1120" s="103"/>
      <c r="T1120" s="103"/>
      <c r="U1120" s="103"/>
      <c r="V1120" s="103"/>
      <c r="W1120" s="103"/>
      <c r="X1120" s="103"/>
      <c r="Y1120" s="103"/>
      <c r="Z1120" s="103"/>
      <c r="AA1120" s="103"/>
      <c r="AB1120" s="103"/>
      <c r="AC1120" s="103"/>
      <c r="AD1120" s="103"/>
      <c r="AE1120" s="103"/>
      <c r="AF1120" s="103"/>
      <c r="AG1120" s="103">
        <v>110</v>
      </c>
      <c r="AH1120" s="103"/>
      <c r="AI1120" s="103"/>
      <c r="AJ1120" s="103"/>
      <c r="AK1120" s="103"/>
      <c r="AL1120" s="103"/>
      <c r="AM1120" s="103"/>
      <c r="AN1120" s="103"/>
      <c r="AO1120" s="103"/>
      <c r="AP1120" s="103"/>
      <c r="AQ1120" s="103"/>
      <c r="AR1120" s="103"/>
      <c r="AS1120" s="103">
        <v>110</v>
      </c>
      <c r="AT1120" s="103"/>
      <c r="AU1120" s="103"/>
      <c r="AV1120" s="103"/>
      <c r="AW1120" s="104" t="str">
        <f>HYPERLINK("http://www.openstreetmap.org/?mlat=35.7292&amp;mlon=42.9077&amp;zoom=12#map=12/35.7292/42.9077","Maplink1")</f>
        <v>Maplink1</v>
      </c>
      <c r="AX1120" s="104" t="str">
        <f>HYPERLINK("https://www.google.iq/maps/search/+35.7292,42.9077/@35.7292,42.9077,14z?hl=en","Maplink2")</f>
        <v>Maplink2</v>
      </c>
      <c r="AY1120" s="104" t="str">
        <f>HYPERLINK("http://www.bing.com/maps/?lvl=14&amp;sty=h&amp;cp=35.7292~42.9077&amp;sp=point.35.7292_42.9077","Maplink3")</f>
        <v>Maplink3</v>
      </c>
    </row>
    <row r="1121" spans="1:51" x14ac:dyDescent="0.2">
      <c r="A1121" s="102">
        <v>33983</v>
      </c>
      <c r="B1121" s="103" t="s">
        <v>35</v>
      </c>
      <c r="C1121" s="103" t="s">
        <v>101</v>
      </c>
      <c r="D1121" s="103" t="s">
        <v>2299</v>
      </c>
      <c r="E1121" s="103" t="s">
        <v>2300</v>
      </c>
      <c r="F1121" s="103">
        <v>35.958832000000001</v>
      </c>
      <c r="G1121" s="103">
        <v>42.324533000000002</v>
      </c>
      <c r="H1121" s="102">
        <v>10</v>
      </c>
      <c r="I1121" s="102">
        <v>60</v>
      </c>
      <c r="J1121" s="103"/>
      <c r="K1121" s="103"/>
      <c r="L1121" s="103"/>
      <c r="M1121" s="103">
        <v>10</v>
      </c>
      <c r="N1121" s="103"/>
      <c r="O1121" s="103"/>
      <c r="P1121" s="103"/>
      <c r="Q1121" s="103"/>
      <c r="R1121" s="103"/>
      <c r="S1121" s="103"/>
      <c r="T1121" s="103"/>
      <c r="U1121" s="103"/>
      <c r="V1121" s="103"/>
      <c r="W1121" s="103"/>
      <c r="X1121" s="103"/>
      <c r="Y1121" s="103"/>
      <c r="Z1121" s="103"/>
      <c r="AA1121" s="103"/>
      <c r="AB1121" s="103"/>
      <c r="AC1121" s="103"/>
      <c r="AD1121" s="103"/>
      <c r="AE1121" s="103"/>
      <c r="AF1121" s="103"/>
      <c r="AG1121" s="103">
        <v>10</v>
      </c>
      <c r="AH1121" s="103"/>
      <c r="AI1121" s="103"/>
      <c r="AJ1121" s="103"/>
      <c r="AK1121" s="103"/>
      <c r="AL1121" s="103"/>
      <c r="AM1121" s="103"/>
      <c r="AN1121" s="103"/>
      <c r="AO1121" s="103"/>
      <c r="AP1121" s="103"/>
      <c r="AQ1121" s="103"/>
      <c r="AR1121" s="103"/>
      <c r="AS1121" s="103">
        <v>10</v>
      </c>
      <c r="AT1121" s="103"/>
      <c r="AU1121" s="103"/>
      <c r="AV1121" s="103"/>
      <c r="AW1121" s="104" t="str">
        <f>HYPERLINK("http://www.openstreetmap.org/?mlat=35.9588&amp;mlon=42.3245&amp;zoom=12#map=12/35.9588/42.3245","Maplink1")</f>
        <v>Maplink1</v>
      </c>
      <c r="AX1121" s="104" t="str">
        <f>HYPERLINK("https://www.google.iq/maps/search/+35.9588,42.3245/@35.9588,42.3245,14z?hl=en","Maplink2")</f>
        <v>Maplink2</v>
      </c>
      <c r="AY1121" s="104" t="str">
        <f>HYPERLINK("http://www.bing.com/maps/?lvl=14&amp;sty=h&amp;cp=35.9588~42.3245&amp;sp=point.35.9588_42.3245","Maplink3")</f>
        <v>Maplink3</v>
      </c>
    </row>
    <row r="1122" spans="1:51" x14ac:dyDescent="0.2">
      <c r="A1122" s="102">
        <v>33115</v>
      </c>
      <c r="B1122" s="103" t="s">
        <v>35</v>
      </c>
      <c r="C1122" s="103" t="s">
        <v>101</v>
      </c>
      <c r="D1122" s="103" t="s">
        <v>2262</v>
      </c>
      <c r="E1122" s="103" t="s">
        <v>2263</v>
      </c>
      <c r="F1122" s="103">
        <v>35.810360354399997</v>
      </c>
      <c r="G1122" s="103">
        <v>43.023024440599997</v>
      </c>
      <c r="H1122" s="102">
        <v>50</v>
      </c>
      <c r="I1122" s="102">
        <v>300</v>
      </c>
      <c r="J1122" s="103"/>
      <c r="K1122" s="103"/>
      <c r="L1122" s="103"/>
      <c r="M1122" s="103">
        <v>50</v>
      </c>
      <c r="N1122" s="103"/>
      <c r="O1122" s="103"/>
      <c r="P1122" s="103"/>
      <c r="Q1122" s="103"/>
      <c r="R1122" s="103"/>
      <c r="S1122" s="103"/>
      <c r="T1122" s="103"/>
      <c r="U1122" s="103"/>
      <c r="V1122" s="103"/>
      <c r="W1122" s="103"/>
      <c r="X1122" s="103"/>
      <c r="Y1122" s="103"/>
      <c r="Z1122" s="103"/>
      <c r="AA1122" s="103"/>
      <c r="AB1122" s="103"/>
      <c r="AC1122" s="103"/>
      <c r="AD1122" s="103"/>
      <c r="AE1122" s="103"/>
      <c r="AF1122" s="103"/>
      <c r="AG1122" s="103">
        <v>40</v>
      </c>
      <c r="AH1122" s="103"/>
      <c r="AI1122" s="103">
        <v>10</v>
      </c>
      <c r="AJ1122" s="103"/>
      <c r="AK1122" s="103"/>
      <c r="AL1122" s="103"/>
      <c r="AM1122" s="103"/>
      <c r="AN1122" s="103"/>
      <c r="AO1122" s="103"/>
      <c r="AP1122" s="103"/>
      <c r="AQ1122" s="103"/>
      <c r="AR1122" s="103">
        <v>50</v>
      </c>
      <c r="AS1122" s="103"/>
      <c r="AT1122" s="103"/>
      <c r="AU1122" s="103"/>
      <c r="AV1122" s="103"/>
      <c r="AW1122" s="104" t="str">
        <f>HYPERLINK("http://www.openstreetmap.org/?mlat=35.8104&amp;mlon=43.023&amp;zoom=12#map=12/35.8104/43.023","Maplink1")</f>
        <v>Maplink1</v>
      </c>
      <c r="AX1122" s="104" t="str">
        <f>HYPERLINK("https://www.google.iq/maps/search/+35.8104,43.023/@35.8104,43.023,14z?hl=en","Maplink2")</f>
        <v>Maplink2</v>
      </c>
      <c r="AY1122" s="104" t="str">
        <f>HYPERLINK("http://www.bing.com/maps/?lvl=14&amp;sty=h&amp;cp=35.8104~43.023&amp;sp=point.35.8104_43.023","Maplink3")</f>
        <v>Maplink3</v>
      </c>
    </row>
    <row r="1123" spans="1:51" x14ac:dyDescent="0.2">
      <c r="A1123" s="102">
        <v>33982</v>
      </c>
      <c r="B1123" s="103" t="s">
        <v>35</v>
      </c>
      <c r="C1123" s="103" t="s">
        <v>101</v>
      </c>
      <c r="D1123" s="103" t="s">
        <v>2264</v>
      </c>
      <c r="E1123" s="103" t="s">
        <v>2265</v>
      </c>
      <c r="F1123" s="103">
        <v>35.911000000000001</v>
      </c>
      <c r="G1123" s="103">
        <v>42.311221000000003</v>
      </c>
      <c r="H1123" s="102">
        <v>90</v>
      </c>
      <c r="I1123" s="102">
        <v>540</v>
      </c>
      <c r="J1123" s="103"/>
      <c r="K1123" s="103"/>
      <c r="L1123" s="103"/>
      <c r="M1123" s="103">
        <v>90</v>
      </c>
      <c r="N1123" s="103"/>
      <c r="O1123" s="103"/>
      <c r="P1123" s="103"/>
      <c r="Q1123" s="103"/>
      <c r="R1123" s="103"/>
      <c r="S1123" s="103"/>
      <c r="T1123" s="103"/>
      <c r="U1123" s="103"/>
      <c r="V1123" s="103"/>
      <c r="W1123" s="103"/>
      <c r="X1123" s="103"/>
      <c r="Y1123" s="103"/>
      <c r="Z1123" s="103"/>
      <c r="AA1123" s="103"/>
      <c r="AB1123" s="103"/>
      <c r="AC1123" s="103"/>
      <c r="AD1123" s="103"/>
      <c r="AE1123" s="103"/>
      <c r="AF1123" s="103"/>
      <c r="AG1123" s="103">
        <v>90</v>
      </c>
      <c r="AH1123" s="103"/>
      <c r="AI1123" s="103"/>
      <c r="AJ1123" s="103"/>
      <c r="AK1123" s="103"/>
      <c r="AL1123" s="103"/>
      <c r="AM1123" s="103"/>
      <c r="AN1123" s="103"/>
      <c r="AO1123" s="103"/>
      <c r="AP1123" s="103"/>
      <c r="AQ1123" s="103"/>
      <c r="AR1123" s="103"/>
      <c r="AS1123" s="103">
        <v>90</v>
      </c>
      <c r="AT1123" s="103"/>
      <c r="AU1123" s="103"/>
      <c r="AV1123" s="103"/>
      <c r="AW1123" s="104" t="str">
        <f>HYPERLINK("http://www.openstreetmap.org/?mlat=35.911&amp;mlon=42.3112&amp;zoom=12#map=12/35.911/42.3112","Maplink1")</f>
        <v>Maplink1</v>
      </c>
      <c r="AX1123" s="104" t="str">
        <f>HYPERLINK("https://www.google.iq/maps/search/+35.911,42.3112/@35.911,42.3112,14z?hl=en","Maplink2")</f>
        <v>Maplink2</v>
      </c>
      <c r="AY1123" s="104" t="str">
        <f>HYPERLINK("http://www.bing.com/maps/?lvl=14&amp;sty=h&amp;cp=35.911~42.3112&amp;sp=point.35.911_42.3112","Maplink3")</f>
        <v>Maplink3</v>
      </c>
    </row>
    <row r="1124" spans="1:51" x14ac:dyDescent="0.2">
      <c r="A1124" s="102">
        <v>33865</v>
      </c>
      <c r="B1124" s="103" t="s">
        <v>35</v>
      </c>
      <c r="C1124" s="103" t="s">
        <v>101</v>
      </c>
      <c r="D1124" s="103" t="s">
        <v>2232</v>
      </c>
      <c r="E1124" s="103" t="s">
        <v>2233</v>
      </c>
      <c r="F1124" s="103">
        <v>35.899630000000002</v>
      </c>
      <c r="G1124" s="103">
        <v>42.908180999999999</v>
      </c>
      <c r="H1124" s="102">
        <v>36</v>
      </c>
      <c r="I1124" s="102">
        <v>216</v>
      </c>
      <c r="J1124" s="103"/>
      <c r="K1124" s="103"/>
      <c r="L1124" s="103"/>
      <c r="M1124" s="103">
        <v>34</v>
      </c>
      <c r="N1124" s="103">
        <v>2</v>
      </c>
      <c r="O1124" s="103"/>
      <c r="P1124" s="103"/>
      <c r="Q1124" s="103"/>
      <c r="R1124" s="103"/>
      <c r="S1124" s="103"/>
      <c r="T1124" s="103"/>
      <c r="U1124" s="103"/>
      <c r="V1124" s="103"/>
      <c r="W1124" s="103"/>
      <c r="X1124" s="103"/>
      <c r="Y1124" s="103"/>
      <c r="Z1124" s="103"/>
      <c r="AA1124" s="103"/>
      <c r="AB1124" s="103"/>
      <c r="AC1124" s="103"/>
      <c r="AD1124" s="103"/>
      <c r="AE1124" s="103"/>
      <c r="AF1124" s="103"/>
      <c r="AG1124" s="103">
        <v>36</v>
      </c>
      <c r="AH1124" s="103"/>
      <c r="AI1124" s="103"/>
      <c r="AJ1124" s="103"/>
      <c r="AK1124" s="103"/>
      <c r="AL1124" s="103"/>
      <c r="AM1124" s="103"/>
      <c r="AN1124" s="103"/>
      <c r="AO1124" s="103"/>
      <c r="AP1124" s="103"/>
      <c r="AQ1124" s="103"/>
      <c r="AR1124" s="103">
        <v>36</v>
      </c>
      <c r="AS1124" s="103"/>
      <c r="AT1124" s="103"/>
      <c r="AU1124" s="103"/>
      <c r="AV1124" s="103"/>
      <c r="AW1124" s="104" t="str">
        <f>HYPERLINK("http://www.openstreetmap.org/?mlat=35.8996&amp;mlon=42.9082&amp;zoom=12#map=12/35.8996/42.9082","Maplink1")</f>
        <v>Maplink1</v>
      </c>
      <c r="AX1124" s="104" t="str">
        <f>HYPERLINK("https://www.google.iq/maps/search/+35.8996,42.9082/@35.8996,42.9082,14z?hl=en","Maplink2")</f>
        <v>Maplink2</v>
      </c>
      <c r="AY1124" s="104" t="str">
        <f>HYPERLINK("http://www.bing.com/maps/?lvl=14&amp;sty=h&amp;cp=35.8996~42.9082&amp;sp=point.35.8996_42.9082","Maplink3")</f>
        <v>Maplink3</v>
      </c>
    </row>
    <row r="1125" spans="1:51" x14ac:dyDescent="0.2">
      <c r="A1125" s="102">
        <v>33970</v>
      </c>
      <c r="B1125" s="103" t="s">
        <v>35</v>
      </c>
      <c r="C1125" s="103" t="s">
        <v>101</v>
      </c>
      <c r="D1125" s="103" t="s">
        <v>2234</v>
      </c>
      <c r="E1125" s="103" t="s">
        <v>2235</v>
      </c>
      <c r="F1125" s="103">
        <v>35.88796</v>
      </c>
      <c r="G1125" s="103">
        <v>42.947339999999997</v>
      </c>
      <c r="H1125" s="102">
        <v>2</v>
      </c>
      <c r="I1125" s="102">
        <v>12</v>
      </c>
      <c r="J1125" s="103"/>
      <c r="K1125" s="103"/>
      <c r="L1125" s="103"/>
      <c r="M1125" s="103">
        <v>2</v>
      </c>
      <c r="N1125" s="103"/>
      <c r="O1125" s="103"/>
      <c r="P1125" s="103"/>
      <c r="Q1125" s="103"/>
      <c r="R1125" s="103"/>
      <c r="S1125" s="103"/>
      <c r="T1125" s="103"/>
      <c r="U1125" s="103"/>
      <c r="V1125" s="103"/>
      <c r="W1125" s="103"/>
      <c r="X1125" s="103"/>
      <c r="Y1125" s="103"/>
      <c r="Z1125" s="103"/>
      <c r="AA1125" s="103"/>
      <c r="AB1125" s="103"/>
      <c r="AC1125" s="103"/>
      <c r="AD1125" s="103"/>
      <c r="AE1125" s="103"/>
      <c r="AF1125" s="103"/>
      <c r="AG1125" s="103">
        <v>2</v>
      </c>
      <c r="AH1125" s="103"/>
      <c r="AI1125" s="103"/>
      <c r="AJ1125" s="103"/>
      <c r="AK1125" s="103"/>
      <c r="AL1125" s="103"/>
      <c r="AM1125" s="103"/>
      <c r="AN1125" s="103"/>
      <c r="AO1125" s="103"/>
      <c r="AP1125" s="103"/>
      <c r="AQ1125" s="103"/>
      <c r="AR1125" s="103"/>
      <c r="AS1125" s="103">
        <v>2</v>
      </c>
      <c r="AT1125" s="103"/>
      <c r="AU1125" s="103"/>
      <c r="AV1125" s="103"/>
      <c r="AW1125" s="104" t="str">
        <f>HYPERLINK("http://www.openstreetmap.org/?mlat=35.888&amp;mlon=42.9473&amp;zoom=12#map=12/35.888/42.9473","Maplink1")</f>
        <v>Maplink1</v>
      </c>
      <c r="AX1125" s="104" t="str">
        <f>HYPERLINK("https://www.google.iq/maps/search/+35.888,42.9473/@35.888,42.9473,14z?hl=en","Maplink2")</f>
        <v>Maplink2</v>
      </c>
      <c r="AY1125" s="104" t="str">
        <f>HYPERLINK("http://www.bing.com/maps/?lvl=14&amp;sty=h&amp;cp=35.888~42.9473&amp;sp=point.35.888_42.9473","Maplink3")</f>
        <v>Maplink3</v>
      </c>
    </row>
    <row r="1126" spans="1:51" x14ac:dyDescent="0.2">
      <c r="A1126" s="102">
        <v>33991</v>
      </c>
      <c r="B1126" s="103" t="s">
        <v>35</v>
      </c>
      <c r="C1126" s="103" t="s">
        <v>101</v>
      </c>
      <c r="D1126" s="103" t="s">
        <v>2236</v>
      </c>
      <c r="E1126" s="103" t="s">
        <v>2237</v>
      </c>
      <c r="F1126" s="103">
        <v>35.824599999999997</v>
      </c>
      <c r="G1126" s="103">
        <v>42.902099999999997</v>
      </c>
      <c r="H1126" s="102">
        <v>76</v>
      </c>
      <c r="I1126" s="102">
        <v>456</v>
      </c>
      <c r="J1126" s="103"/>
      <c r="K1126" s="103"/>
      <c r="L1126" s="103"/>
      <c r="M1126" s="103">
        <v>71</v>
      </c>
      <c r="N1126" s="103">
        <v>5</v>
      </c>
      <c r="O1126" s="103"/>
      <c r="P1126" s="103"/>
      <c r="Q1126" s="103"/>
      <c r="R1126" s="103"/>
      <c r="S1126" s="103"/>
      <c r="T1126" s="103"/>
      <c r="U1126" s="103"/>
      <c r="V1126" s="103"/>
      <c r="W1126" s="103"/>
      <c r="X1126" s="103"/>
      <c r="Y1126" s="103"/>
      <c r="Z1126" s="103"/>
      <c r="AA1126" s="103"/>
      <c r="AB1126" s="103"/>
      <c r="AC1126" s="103"/>
      <c r="AD1126" s="103"/>
      <c r="AE1126" s="103"/>
      <c r="AF1126" s="103"/>
      <c r="AG1126" s="103">
        <v>76</v>
      </c>
      <c r="AH1126" s="103"/>
      <c r="AI1126" s="103"/>
      <c r="AJ1126" s="103"/>
      <c r="AK1126" s="103"/>
      <c r="AL1126" s="103"/>
      <c r="AM1126" s="103"/>
      <c r="AN1126" s="103"/>
      <c r="AO1126" s="103"/>
      <c r="AP1126" s="103"/>
      <c r="AQ1126" s="103"/>
      <c r="AR1126" s="103"/>
      <c r="AS1126" s="103">
        <v>76</v>
      </c>
      <c r="AT1126" s="103"/>
      <c r="AU1126" s="103"/>
      <c r="AV1126" s="103"/>
      <c r="AW1126" s="104" t="str">
        <f>HYPERLINK("http://www.openstreetmap.org/?mlat=35.8246&amp;mlon=42.9021&amp;zoom=12#map=12/35.8246/42.9021","Maplink1")</f>
        <v>Maplink1</v>
      </c>
      <c r="AX1126" s="104" t="str">
        <f>HYPERLINK("https://www.google.iq/maps/search/+35.8246,42.9021/@35.8246,42.9021,14z?hl=en","Maplink2")</f>
        <v>Maplink2</v>
      </c>
      <c r="AY1126" s="104" t="str">
        <f>HYPERLINK("http://www.bing.com/maps/?lvl=14&amp;sty=h&amp;cp=35.8246~42.9021&amp;sp=point.35.8246_42.9021","Maplink3")</f>
        <v>Maplink3</v>
      </c>
    </row>
    <row r="1127" spans="1:51" x14ac:dyDescent="0.2">
      <c r="A1127" s="102">
        <v>33232</v>
      </c>
      <c r="B1127" s="103" t="s">
        <v>35</v>
      </c>
      <c r="C1127" s="103" t="s">
        <v>101</v>
      </c>
      <c r="D1127" s="103" t="s">
        <v>2311</v>
      </c>
      <c r="E1127" s="103" t="s">
        <v>2312</v>
      </c>
      <c r="F1127" s="103">
        <v>35.894770999999999</v>
      </c>
      <c r="G1127" s="103">
        <v>42.733356999999998</v>
      </c>
      <c r="H1127" s="102">
        <v>12</v>
      </c>
      <c r="I1127" s="102">
        <v>72</v>
      </c>
      <c r="J1127" s="103"/>
      <c r="K1127" s="103"/>
      <c r="L1127" s="103"/>
      <c r="M1127" s="103">
        <v>12</v>
      </c>
      <c r="N1127" s="103"/>
      <c r="O1127" s="103"/>
      <c r="P1127" s="103"/>
      <c r="Q1127" s="103"/>
      <c r="R1127" s="103"/>
      <c r="S1127" s="103"/>
      <c r="T1127" s="103"/>
      <c r="U1127" s="103"/>
      <c r="V1127" s="103"/>
      <c r="W1127" s="103"/>
      <c r="X1127" s="103"/>
      <c r="Y1127" s="103"/>
      <c r="Z1127" s="103"/>
      <c r="AA1127" s="103"/>
      <c r="AB1127" s="103"/>
      <c r="AC1127" s="103"/>
      <c r="AD1127" s="103"/>
      <c r="AE1127" s="103"/>
      <c r="AF1127" s="103"/>
      <c r="AG1127" s="103">
        <v>12</v>
      </c>
      <c r="AH1127" s="103"/>
      <c r="AI1127" s="103"/>
      <c r="AJ1127" s="103"/>
      <c r="AK1127" s="103"/>
      <c r="AL1127" s="103"/>
      <c r="AM1127" s="103"/>
      <c r="AN1127" s="103"/>
      <c r="AO1127" s="103"/>
      <c r="AP1127" s="103"/>
      <c r="AQ1127" s="103"/>
      <c r="AR1127" s="103"/>
      <c r="AS1127" s="103">
        <v>12</v>
      </c>
      <c r="AT1127" s="103"/>
      <c r="AU1127" s="103"/>
      <c r="AV1127" s="103"/>
      <c r="AW1127" s="104" t="str">
        <f>HYPERLINK("http://www.openstreetmap.org/?mlat=35.8948&amp;mlon=42.7334&amp;zoom=12#map=12/35.8948/42.7334","Maplink1")</f>
        <v>Maplink1</v>
      </c>
      <c r="AX1127" s="104" t="str">
        <f>HYPERLINK("https://www.google.iq/maps/search/+35.8948,42.7334/@35.8948,42.7334,14z?hl=en","Maplink2")</f>
        <v>Maplink2</v>
      </c>
      <c r="AY1127" s="104" t="str">
        <f>HYPERLINK("http://www.bing.com/maps/?lvl=14&amp;sty=h&amp;cp=35.8948~42.7334&amp;sp=point.35.8948_42.7334","Maplink3")</f>
        <v>Maplink3</v>
      </c>
    </row>
    <row r="1128" spans="1:51" x14ac:dyDescent="0.2">
      <c r="A1128" s="102">
        <v>33698</v>
      </c>
      <c r="B1128" s="103" t="s">
        <v>35</v>
      </c>
      <c r="C1128" s="103" t="s">
        <v>101</v>
      </c>
      <c r="D1128" s="103" t="s">
        <v>2313</v>
      </c>
      <c r="E1128" s="103" t="s">
        <v>2314</v>
      </c>
      <c r="F1128" s="103">
        <v>36.050921000000002</v>
      </c>
      <c r="G1128" s="103">
        <v>42.388765734700002</v>
      </c>
      <c r="H1128" s="102">
        <v>6</v>
      </c>
      <c r="I1128" s="102">
        <v>36</v>
      </c>
      <c r="J1128" s="103"/>
      <c r="K1128" s="103"/>
      <c r="L1128" s="103"/>
      <c r="M1128" s="103">
        <v>6</v>
      </c>
      <c r="N1128" s="103"/>
      <c r="O1128" s="103"/>
      <c r="P1128" s="103"/>
      <c r="Q1128" s="103"/>
      <c r="R1128" s="103"/>
      <c r="S1128" s="103"/>
      <c r="T1128" s="103"/>
      <c r="U1128" s="103"/>
      <c r="V1128" s="103"/>
      <c r="W1128" s="103"/>
      <c r="X1128" s="103"/>
      <c r="Y1128" s="103"/>
      <c r="Z1128" s="103"/>
      <c r="AA1128" s="103"/>
      <c r="AB1128" s="103"/>
      <c r="AC1128" s="103"/>
      <c r="AD1128" s="103"/>
      <c r="AE1128" s="103"/>
      <c r="AF1128" s="103"/>
      <c r="AG1128" s="103">
        <v>6</v>
      </c>
      <c r="AH1128" s="103"/>
      <c r="AI1128" s="103"/>
      <c r="AJ1128" s="103"/>
      <c r="AK1128" s="103"/>
      <c r="AL1128" s="103"/>
      <c r="AM1128" s="103"/>
      <c r="AN1128" s="103"/>
      <c r="AO1128" s="103"/>
      <c r="AP1128" s="103"/>
      <c r="AQ1128" s="103"/>
      <c r="AR1128" s="103"/>
      <c r="AS1128" s="103">
        <v>6</v>
      </c>
      <c r="AT1128" s="103"/>
      <c r="AU1128" s="103"/>
      <c r="AV1128" s="103"/>
      <c r="AW1128" s="104" t="str">
        <f>HYPERLINK("http://www.openstreetmap.org/?mlat=36.0509&amp;mlon=42.3888&amp;zoom=12#map=12/36.0509/42.3888","Maplink1")</f>
        <v>Maplink1</v>
      </c>
      <c r="AX1128" s="104" t="str">
        <f>HYPERLINK("https://www.google.iq/maps/search/+36.0509,42.3888/@36.0509,42.3888,14z?hl=en","Maplink2")</f>
        <v>Maplink2</v>
      </c>
      <c r="AY1128" s="104" t="str">
        <f>HYPERLINK("http://www.bing.com/maps/?lvl=14&amp;sty=h&amp;cp=36.0509~42.3888&amp;sp=point.36.0509_42.3888","Maplink3")</f>
        <v>Maplink3</v>
      </c>
    </row>
    <row r="1129" spans="1:51" x14ac:dyDescent="0.2">
      <c r="A1129" s="102">
        <v>33974</v>
      </c>
      <c r="B1129" s="103" t="s">
        <v>35</v>
      </c>
      <c r="C1129" s="103" t="s">
        <v>101</v>
      </c>
      <c r="D1129" s="103" t="s">
        <v>2315</v>
      </c>
      <c r="E1129" s="103" t="s">
        <v>2316</v>
      </c>
      <c r="F1129" s="103">
        <v>35.407060999999999</v>
      </c>
      <c r="G1129" s="103">
        <v>42.630395999999998</v>
      </c>
      <c r="H1129" s="102">
        <v>10</v>
      </c>
      <c r="I1129" s="102">
        <v>60</v>
      </c>
      <c r="J1129" s="103"/>
      <c r="K1129" s="103"/>
      <c r="L1129" s="103"/>
      <c r="M1129" s="103">
        <v>10</v>
      </c>
      <c r="N1129" s="103"/>
      <c r="O1129" s="103"/>
      <c r="P1129" s="103"/>
      <c r="Q1129" s="103"/>
      <c r="R1129" s="103"/>
      <c r="S1129" s="103"/>
      <c r="T1129" s="103"/>
      <c r="U1129" s="103"/>
      <c r="V1129" s="103"/>
      <c r="W1129" s="103"/>
      <c r="X1129" s="103"/>
      <c r="Y1129" s="103"/>
      <c r="Z1129" s="103"/>
      <c r="AA1129" s="103"/>
      <c r="AB1129" s="103"/>
      <c r="AC1129" s="103"/>
      <c r="AD1129" s="103"/>
      <c r="AE1129" s="103"/>
      <c r="AF1129" s="103"/>
      <c r="AG1129" s="103">
        <v>10</v>
      </c>
      <c r="AH1129" s="103"/>
      <c r="AI1129" s="103"/>
      <c r="AJ1129" s="103"/>
      <c r="AK1129" s="103"/>
      <c r="AL1129" s="103"/>
      <c r="AM1129" s="103"/>
      <c r="AN1129" s="103"/>
      <c r="AO1129" s="103"/>
      <c r="AP1129" s="103"/>
      <c r="AQ1129" s="103"/>
      <c r="AR1129" s="103"/>
      <c r="AS1129" s="103">
        <v>10</v>
      </c>
      <c r="AT1129" s="103"/>
      <c r="AU1129" s="103"/>
      <c r="AV1129" s="103"/>
      <c r="AW1129" s="104" t="str">
        <f>HYPERLINK("http://www.openstreetmap.org/?mlat=35.4071&amp;mlon=42.6304&amp;zoom=12#map=12/35.4071/42.6304","Maplink1")</f>
        <v>Maplink1</v>
      </c>
      <c r="AX1129" s="104" t="str">
        <f>HYPERLINK("https://www.google.iq/maps/search/+35.4071,42.6304/@35.4071,42.6304,14z?hl=en","Maplink2")</f>
        <v>Maplink2</v>
      </c>
      <c r="AY1129" s="104" t="str">
        <f>HYPERLINK("http://www.bing.com/maps/?lvl=14&amp;sty=h&amp;cp=35.4071~42.6304&amp;sp=point.35.4071_42.6304","Maplink3")</f>
        <v>Maplink3</v>
      </c>
    </row>
    <row r="1130" spans="1:51" x14ac:dyDescent="0.2">
      <c r="A1130" s="102">
        <v>33163</v>
      </c>
      <c r="B1130" s="103" t="s">
        <v>35</v>
      </c>
      <c r="C1130" s="103" t="s">
        <v>101</v>
      </c>
      <c r="D1130" s="103" t="s">
        <v>2305</v>
      </c>
      <c r="E1130" s="103" t="s">
        <v>2306</v>
      </c>
      <c r="F1130" s="103">
        <v>35.717048188699998</v>
      </c>
      <c r="G1130" s="103">
        <v>42.976920223299999</v>
      </c>
      <c r="H1130" s="102">
        <v>19</v>
      </c>
      <c r="I1130" s="102">
        <v>114</v>
      </c>
      <c r="J1130" s="103"/>
      <c r="K1130" s="103"/>
      <c r="L1130" s="103"/>
      <c r="M1130" s="103">
        <v>19</v>
      </c>
      <c r="N1130" s="103"/>
      <c r="O1130" s="103"/>
      <c r="P1130" s="103"/>
      <c r="Q1130" s="103"/>
      <c r="R1130" s="103"/>
      <c r="S1130" s="103"/>
      <c r="T1130" s="103"/>
      <c r="U1130" s="103"/>
      <c r="V1130" s="103"/>
      <c r="W1130" s="103"/>
      <c r="X1130" s="103"/>
      <c r="Y1130" s="103"/>
      <c r="Z1130" s="103"/>
      <c r="AA1130" s="103"/>
      <c r="AB1130" s="103"/>
      <c r="AC1130" s="103"/>
      <c r="AD1130" s="103"/>
      <c r="AE1130" s="103"/>
      <c r="AF1130" s="103"/>
      <c r="AG1130" s="103">
        <v>9</v>
      </c>
      <c r="AH1130" s="103"/>
      <c r="AI1130" s="103">
        <v>10</v>
      </c>
      <c r="AJ1130" s="103"/>
      <c r="AK1130" s="103"/>
      <c r="AL1130" s="103"/>
      <c r="AM1130" s="103"/>
      <c r="AN1130" s="103"/>
      <c r="AO1130" s="103"/>
      <c r="AP1130" s="103"/>
      <c r="AQ1130" s="103"/>
      <c r="AR1130" s="103">
        <v>19</v>
      </c>
      <c r="AS1130" s="103"/>
      <c r="AT1130" s="103"/>
      <c r="AU1130" s="103"/>
      <c r="AV1130" s="103"/>
      <c r="AW1130" s="104" t="str">
        <f>HYPERLINK("http://www.openstreetmap.org/?mlat=35.717&amp;mlon=42.9769&amp;zoom=12#map=12/35.717/42.9769","Maplink1")</f>
        <v>Maplink1</v>
      </c>
      <c r="AX1130" s="104" t="str">
        <f>HYPERLINK("https://www.google.iq/maps/search/+35.717,42.9769/@35.717,42.9769,14z?hl=en","Maplink2")</f>
        <v>Maplink2</v>
      </c>
      <c r="AY1130" s="104" t="str">
        <f>HYPERLINK("http://www.bing.com/maps/?lvl=14&amp;sty=h&amp;cp=35.717~42.9769&amp;sp=point.35.717_42.9769","Maplink3")</f>
        <v>Maplink3</v>
      </c>
    </row>
    <row r="1131" spans="1:51" x14ac:dyDescent="0.2">
      <c r="A1131" s="102">
        <v>33867</v>
      </c>
      <c r="B1131" s="103" t="s">
        <v>35</v>
      </c>
      <c r="C1131" s="103" t="s">
        <v>101</v>
      </c>
      <c r="D1131" s="103" t="s">
        <v>2307</v>
      </c>
      <c r="E1131" s="103" t="s">
        <v>2308</v>
      </c>
      <c r="F1131" s="103">
        <v>35.760689999999997</v>
      </c>
      <c r="G1131" s="103">
        <v>42.950310000000002</v>
      </c>
      <c r="H1131" s="102">
        <v>35</v>
      </c>
      <c r="I1131" s="102">
        <v>210</v>
      </c>
      <c r="J1131" s="103"/>
      <c r="K1131" s="103"/>
      <c r="L1131" s="103"/>
      <c r="M1131" s="103">
        <v>35</v>
      </c>
      <c r="N1131" s="103"/>
      <c r="O1131" s="103"/>
      <c r="P1131" s="103"/>
      <c r="Q1131" s="103"/>
      <c r="R1131" s="103"/>
      <c r="S1131" s="103"/>
      <c r="T1131" s="103"/>
      <c r="U1131" s="103"/>
      <c r="V1131" s="103"/>
      <c r="W1131" s="103"/>
      <c r="X1131" s="103"/>
      <c r="Y1131" s="103"/>
      <c r="Z1131" s="103"/>
      <c r="AA1131" s="103"/>
      <c r="AB1131" s="103"/>
      <c r="AC1131" s="103"/>
      <c r="AD1131" s="103"/>
      <c r="AE1131" s="103"/>
      <c r="AF1131" s="103"/>
      <c r="AG1131" s="103">
        <v>35</v>
      </c>
      <c r="AH1131" s="103"/>
      <c r="AI1131" s="103"/>
      <c r="AJ1131" s="103"/>
      <c r="AK1131" s="103"/>
      <c r="AL1131" s="103"/>
      <c r="AM1131" s="103"/>
      <c r="AN1131" s="103"/>
      <c r="AO1131" s="103"/>
      <c r="AP1131" s="103"/>
      <c r="AQ1131" s="103"/>
      <c r="AR1131" s="103">
        <v>35</v>
      </c>
      <c r="AS1131" s="103"/>
      <c r="AT1131" s="103"/>
      <c r="AU1131" s="103"/>
      <c r="AV1131" s="103"/>
      <c r="AW1131" s="104" t="str">
        <f>HYPERLINK("http://www.openstreetmap.org/?mlat=35.7607&amp;mlon=42.9503&amp;zoom=12#map=12/35.7607/42.9503","Maplink1")</f>
        <v>Maplink1</v>
      </c>
      <c r="AX1131" s="104" t="str">
        <f>HYPERLINK("https://www.google.iq/maps/search/+35.7607,42.9503/@35.7607,42.9503,14z?hl=en","Maplink2")</f>
        <v>Maplink2</v>
      </c>
      <c r="AY1131" s="104" t="str">
        <f>HYPERLINK("http://www.bing.com/maps/?lvl=14&amp;sty=h&amp;cp=35.7607~42.9503&amp;sp=point.35.7607_42.9503","Maplink3")</f>
        <v>Maplink3</v>
      </c>
    </row>
    <row r="1132" spans="1:51" x14ac:dyDescent="0.2">
      <c r="A1132" s="102">
        <v>33897</v>
      </c>
      <c r="B1132" s="103" t="s">
        <v>35</v>
      </c>
      <c r="C1132" s="103" t="s">
        <v>101</v>
      </c>
      <c r="D1132" s="103" t="s">
        <v>2309</v>
      </c>
      <c r="E1132" s="103" t="s">
        <v>2310</v>
      </c>
      <c r="F1132" s="103">
        <v>35.716810000000002</v>
      </c>
      <c r="G1132" s="103">
        <v>42.954439999999998</v>
      </c>
      <c r="H1132" s="102">
        <v>1</v>
      </c>
      <c r="I1132" s="102">
        <v>6</v>
      </c>
      <c r="J1132" s="103"/>
      <c r="K1132" s="103"/>
      <c r="L1132" s="103"/>
      <c r="M1132" s="103">
        <v>1</v>
      </c>
      <c r="N1132" s="103"/>
      <c r="O1132" s="103"/>
      <c r="P1132" s="103"/>
      <c r="Q1132" s="103"/>
      <c r="R1132" s="103"/>
      <c r="S1132" s="103"/>
      <c r="T1132" s="103"/>
      <c r="U1132" s="103"/>
      <c r="V1132" s="103"/>
      <c r="W1132" s="103"/>
      <c r="X1132" s="103"/>
      <c r="Y1132" s="103"/>
      <c r="Z1132" s="103"/>
      <c r="AA1132" s="103"/>
      <c r="AB1132" s="103"/>
      <c r="AC1132" s="103"/>
      <c r="AD1132" s="103"/>
      <c r="AE1132" s="103"/>
      <c r="AF1132" s="103"/>
      <c r="AG1132" s="103">
        <v>1</v>
      </c>
      <c r="AH1132" s="103"/>
      <c r="AI1132" s="103"/>
      <c r="AJ1132" s="103"/>
      <c r="AK1132" s="103"/>
      <c r="AL1132" s="103"/>
      <c r="AM1132" s="103"/>
      <c r="AN1132" s="103"/>
      <c r="AO1132" s="103"/>
      <c r="AP1132" s="103"/>
      <c r="AQ1132" s="103"/>
      <c r="AR1132" s="103"/>
      <c r="AS1132" s="103">
        <v>1</v>
      </c>
      <c r="AT1132" s="103"/>
      <c r="AU1132" s="103"/>
      <c r="AV1132" s="103"/>
      <c r="AW1132" s="104" t="str">
        <f>HYPERLINK("http://www.openstreetmap.org/?mlat=35.7168&amp;mlon=42.9544&amp;zoom=12#map=12/35.7168/42.9544","Maplink1")</f>
        <v>Maplink1</v>
      </c>
      <c r="AX1132" s="104" t="str">
        <f>HYPERLINK("https://www.google.iq/maps/search/+35.7168,42.9544/@35.7168,42.9544,14z?hl=en","Maplink2")</f>
        <v>Maplink2</v>
      </c>
      <c r="AY1132" s="104" t="str">
        <f>HYPERLINK("http://www.bing.com/maps/?lvl=14&amp;sty=h&amp;cp=35.7168~42.9544&amp;sp=point.35.7168_42.9544","Maplink3")</f>
        <v>Maplink3</v>
      </c>
    </row>
    <row r="1133" spans="1:51" x14ac:dyDescent="0.2">
      <c r="A1133" s="102">
        <v>33814</v>
      </c>
      <c r="B1133" s="103" t="s">
        <v>35</v>
      </c>
      <c r="C1133" s="103" t="s">
        <v>101</v>
      </c>
      <c r="D1133" s="103" t="s">
        <v>2291</v>
      </c>
      <c r="E1133" s="103" t="s">
        <v>2292</v>
      </c>
      <c r="F1133" s="103">
        <v>35.394219999999997</v>
      </c>
      <c r="G1133" s="103">
        <v>42.625332999999998</v>
      </c>
      <c r="H1133" s="102">
        <v>25</v>
      </c>
      <c r="I1133" s="102">
        <v>150</v>
      </c>
      <c r="J1133" s="103"/>
      <c r="K1133" s="103"/>
      <c r="L1133" s="103"/>
      <c r="M1133" s="103">
        <v>23</v>
      </c>
      <c r="N1133" s="103">
        <v>2</v>
      </c>
      <c r="O1133" s="103"/>
      <c r="P1133" s="103"/>
      <c r="Q1133" s="103"/>
      <c r="R1133" s="103"/>
      <c r="S1133" s="103"/>
      <c r="T1133" s="103"/>
      <c r="U1133" s="103"/>
      <c r="V1133" s="103"/>
      <c r="W1133" s="103"/>
      <c r="X1133" s="103"/>
      <c r="Y1133" s="103"/>
      <c r="Z1133" s="103"/>
      <c r="AA1133" s="103"/>
      <c r="AB1133" s="103"/>
      <c r="AC1133" s="103"/>
      <c r="AD1133" s="103"/>
      <c r="AE1133" s="103"/>
      <c r="AF1133" s="103"/>
      <c r="AG1133" s="103">
        <v>25</v>
      </c>
      <c r="AH1133" s="103"/>
      <c r="AI1133" s="103"/>
      <c r="AJ1133" s="103"/>
      <c r="AK1133" s="103"/>
      <c r="AL1133" s="103"/>
      <c r="AM1133" s="103"/>
      <c r="AN1133" s="103"/>
      <c r="AO1133" s="103"/>
      <c r="AP1133" s="103"/>
      <c r="AQ1133" s="103"/>
      <c r="AR1133" s="103"/>
      <c r="AS1133" s="103">
        <v>25</v>
      </c>
      <c r="AT1133" s="103"/>
      <c r="AU1133" s="103"/>
      <c r="AV1133" s="103"/>
      <c r="AW1133" s="104" t="str">
        <f>HYPERLINK("http://www.openstreetmap.org/?mlat=35.3942&amp;mlon=42.6253&amp;zoom=12#map=12/35.3942/42.6253","Maplink1")</f>
        <v>Maplink1</v>
      </c>
      <c r="AX1133" s="104" t="str">
        <f>HYPERLINK("https://www.google.iq/maps/search/+35.3942,42.6253/@35.3942,42.6253,14z?hl=en","Maplink2")</f>
        <v>Maplink2</v>
      </c>
      <c r="AY1133" s="104" t="str">
        <f>HYPERLINK("http://www.bing.com/maps/?lvl=14&amp;sty=h&amp;cp=35.3942~42.6253&amp;sp=point.35.3942_42.6253","Maplink3")</f>
        <v>Maplink3</v>
      </c>
    </row>
    <row r="1134" spans="1:51" x14ac:dyDescent="0.2">
      <c r="A1134" s="102">
        <v>33639</v>
      </c>
      <c r="B1134" s="103" t="s">
        <v>35</v>
      </c>
      <c r="C1134" s="103" t="s">
        <v>101</v>
      </c>
      <c r="D1134" s="103" t="s">
        <v>2226</v>
      </c>
      <c r="E1134" s="103" t="s">
        <v>2227</v>
      </c>
      <c r="F1134" s="103">
        <v>36.13693</v>
      </c>
      <c r="G1134" s="103">
        <v>42.240699999999997</v>
      </c>
      <c r="H1134" s="102">
        <v>7</v>
      </c>
      <c r="I1134" s="102">
        <v>42</v>
      </c>
      <c r="J1134" s="103"/>
      <c r="K1134" s="103"/>
      <c r="L1134" s="103"/>
      <c r="M1134" s="103">
        <v>7</v>
      </c>
      <c r="N1134" s="103"/>
      <c r="O1134" s="103"/>
      <c r="P1134" s="103"/>
      <c r="Q1134" s="103"/>
      <c r="R1134" s="103"/>
      <c r="S1134" s="103"/>
      <c r="T1134" s="103"/>
      <c r="U1134" s="103"/>
      <c r="V1134" s="103"/>
      <c r="W1134" s="103"/>
      <c r="X1134" s="103"/>
      <c r="Y1134" s="103"/>
      <c r="Z1134" s="103"/>
      <c r="AA1134" s="103"/>
      <c r="AB1134" s="103"/>
      <c r="AC1134" s="103"/>
      <c r="AD1134" s="103"/>
      <c r="AE1134" s="103"/>
      <c r="AF1134" s="103"/>
      <c r="AG1134" s="103">
        <v>7</v>
      </c>
      <c r="AH1134" s="103"/>
      <c r="AI1134" s="103"/>
      <c r="AJ1134" s="103"/>
      <c r="AK1134" s="103"/>
      <c r="AL1134" s="103"/>
      <c r="AM1134" s="103"/>
      <c r="AN1134" s="103"/>
      <c r="AO1134" s="103"/>
      <c r="AP1134" s="103"/>
      <c r="AQ1134" s="103"/>
      <c r="AR1134" s="103"/>
      <c r="AS1134" s="103">
        <v>7</v>
      </c>
      <c r="AT1134" s="103"/>
      <c r="AU1134" s="103"/>
      <c r="AV1134" s="103"/>
      <c r="AW1134" s="104" t="str">
        <f>HYPERLINK("http://www.openstreetmap.org/?mlat=36.1369&amp;mlon=42.2407&amp;zoom=12#map=12/36.1369/42.2407","Maplink1")</f>
        <v>Maplink1</v>
      </c>
      <c r="AX1134" s="104" t="str">
        <f>HYPERLINK("https://www.google.iq/maps/search/+36.1369,42.2407/@36.1369,42.2407,14z?hl=en","Maplink2")</f>
        <v>Maplink2</v>
      </c>
      <c r="AY1134" s="104" t="str">
        <f>HYPERLINK("http://www.bing.com/maps/?lvl=14&amp;sty=h&amp;cp=36.1369~42.2407&amp;sp=point.36.1369_42.2407","Maplink3")</f>
        <v>Maplink3</v>
      </c>
    </row>
    <row r="1135" spans="1:51" x14ac:dyDescent="0.2">
      <c r="A1135" s="102">
        <v>33863</v>
      </c>
      <c r="B1135" s="103" t="s">
        <v>35</v>
      </c>
      <c r="C1135" s="103" t="s">
        <v>101</v>
      </c>
      <c r="D1135" s="103" t="s">
        <v>2228</v>
      </c>
      <c r="E1135" s="103" t="s">
        <v>2229</v>
      </c>
      <c r="F1135" s="103">
        <v>36.190331</v>
      </c>
      <c r="G1135" s="103">
        <v>42.268836999999998</v>
      </c>
      <c r="H1135" s="102">
        <v>55</v>
      </c>
      <c r="I1135" s="102">
        <v>330</v>
      </c>
      <c r="J1135" s="103"/>
      <c r="K1135" s="103"/>
      <c r="L1135" s="103"/>
      <c r="M1135" s="103">
        <v>55</v>
      </c>
      <c r="N1135" s="103"/>
      <c r="O1135" s="103"/>
      <c r="P1135" s="103"/>
      <c r="Q1135" s="103"/>
      <c r="R1135" s="103"/>
      <c r="S1135" s="103"/>
      <c r="T1135" s="103"/>
      <c r="U1135" s="103"/>
      <c r="V1135" s="103"/>
      <c r="W1135" s="103"/>
      <c r="X1135" s="103"/>
      <c r="Y1135" s="103"/>
      <c r="Z1135" s="103"/>
      <c r="AA1135" s="103"/>
      <c r="AB1135" s="103"/>
      <c r="AC1135" s="103"/>
      <c r="AD1135" s="103"/>
      <c r="AE1135" s="103"/>
      <c r="AF1135" s="103"/>
      <c r="AG1135" s="103">
        <v>55</v>
      </c>
      <c r="AH1135" s="103"/>
      <c r="AI1135" s="103"/>
      <c r="AJ1135" s="103"/>
      <c r="AK1135" s="103"/>
      <c r="AL1135" s="103"/>
      <c r="AM1135" s="103"/>
      <c r="AN1135" s="103"/>
      <c r="AO1135" s="103"/>
      <c r="AP1135" s="103"/>
      <c r="AQ1135" s="103"/>
      <c r="AR1135" s="103"/>
      <c r="AS1135" s="103">
        <v>55</v>
      </c>
      <c r="AT1135" s="103"/>
      <c r="AU1135" s="103"/>
      <c r="AV1135" s="103"/>
      <c r="AW1135" s="104" t="str">
        <f>HYPERLINK("http://www.openstreetmap.org/?mlat=36.1903&amp;mlon=42.2688&amp;zoom=12#map=12/36.1903/42.2688","Maplink1")</f>
        <v>Maplink1</v>
      </c>
      <c r="AX1135" s="104" t="str">
        <f>HYPERLINK("https://www.google.iq/maps/search/+36.1903,42.2688/@36.1903,42.2688,14z?hl=en","Maplink2")</f>
        <v>Maplink2</v>
      </c>
      <c r="AY1135" s="104" t="str">
        <f>HYPERLINK("http://www.bing.com/maps/?lvl=14&amp;sty=h&amp;cp=36.1903~42.2688&amp;sp=point.36.1903_42.2688","Maplink3")</f>
        <v>Maplink3</v>
      </c>
    </row>
    <row r="1136" spans="1:51" x14ac:dyDescent="0.2">
      <c r="A1136" s="102">
        <v>33733</v>
      </c>
      <c r="B1136" s="103" t="s">
        <v>35</v>
      </c>
      <c r="C1136" s="103" t="s">
        <v>101</v>
      </c>
      <c r="D1136" s="103" t="s">
        <v>2230</v>
      </c>
      <c r="E1136" s="103" t="s">
        <v>2231</v>
      </c>
      <c r="F1136" s="103">
        <v>35.783650000000002</v>
      </c>
      <c r="G1136" s="103">
        <v>42.327280000000002</v>
      </c>
      <c r="H1136" s="102">
        <v>50</v>
      </c>
      <c r="I1136" s="102">
        <v>300</v>
      </c>
      <c r="J1136" s="103"/>
      <c r="K1136" s="103"/>
      <c r="L1136" s="103"/>
      <c r="M1136" s="103">
        <v>50</v>
      </c>
      <c r="N1136" s="103"/>
      <c r="O1136" s="103"/>
      <c r="P1136" s="103"/>
      <c r="Q1136" s="103"/>
      <c r="R1136" s="103"/>
      <c r="S1136" s="103"/>
      <c r="T1136" s="103"/>
      <c r="U1136" s="103"/>
      <c r="V1136" s="103"/>
      <c r="W1136" s="103"/>
      <c r="X1136" s="103"/>
      <c r="Y1136" s="103"/>
      <c r="Z1136" s="103"/>
      <c r="AA1136" s="103"/>
      <c r="AB1136" s="103"/>
      <c r="AC1136" s="103"/>
      <c r="AD1136" s="103"/>
      <c r="AE1136" s="103"/>
      <c r="AF1136" s="103"/>
      <c r="AG1136" s="103">
        <v>50</v>
      </c>
      <c r="AH1136" s="103"/>
      <c r="AI1136" s="103"/>
      <c r="AJ1136" s="103"/>
      <c r="AK1136" s="103"/>
      <c r="AL1136" s="103"/>
      <c r="AM1136" s="103"/>
      <c r="AN1136" s="103"/>
      <c r="AO1136" s="103"/>
      <c r="AP1136" s="103"/>
      <c r="AQ1136" s="103"/>
      <c r="AR1136" s="103"/>
      <c r="AS1136" s="103">
        <v>50</v>
      </c>
      <c r="AT1136" s="103"/>
      <c r="AU1136" s="103"/>
      <c r="AV1136" s="103"/>
      <c r="AW1136" s="104" t="str">
        <f>HYPERLINK("http://www.openstreetmap.org/?mlat=35.7837&amp;mlon=42.3273&amp;zoom=12#map=12/35.7837/42.3273","Maplink1")</f>
        <v>Maplink1</v>
      </c>
      <c r="AX1136" s="104" t="str">
        <f>HYPERLINK("https://www.google.iq/maps/search/+35.7837,42.3273/@35.7837,42.3273,14z?hl=en","Maplink2")</f>
        <v>Maplink2</v>
      </c>
      <c r="AY1136" s="104" t="str">
        <f>HYPERLINK("http://www.bing.com/maps/?lvl=14&amp;sty=h&amp;cp=35.7837~42.3273&amp;sp=point.35.7837_42.3273","Maplink3")</f>
        <v>Maplink3</v>
      </c>
    </row>
    <row r="1137" spans="1:51" x14ac:dyDescent="0.2">
      <c r="A1137" s="102">
        <v>33728</v>
      </c>
      <c r="B1137" s="103" t="s">
        <v>35</v>
      </c>
      <c r="C1137" s="103" t="s">
        <v>101</v>
      </c>
      <c r="D1137" s="103" t="s">
        <v>2246</v>
      </c>
      <c r="E1137" s="103" t="s">
        <v>2247</v>
      </c>
      <c r="F1137" s="103">
        <v>35.857460000000003</v>
      </c>
      <c r="G1137" s="103">
        <v>42.215159999999997</v>
      </c>
      <c r="H1137" s="102">
        <v>50</v>
      </c>
      <c r="I1137" s="102">
        <v>300</v>
      </c>
      <c r="J1137" s="103"/>
      <c r="K1137" s="103"/>
      <c r="L1137" s="103"/>
      <c r="M1137" s="103">
        <v>46</v>
      </c>
      <c r="N1137" s="103">
        <v>4</v>
      </c>
      <c r="O1137" s="103"/>
      <c r="P1137" s="103"/>
      <c r="Q1137" s="103"/>
      <c r="R1137" s="103"/>
      <c r="S1137" s="103"/>
      <c r="T1137" s="103"/>
      <c r="U1137" s="103"/>
      <c r="V1137" s="103"/>
      <c r="W1137" s="103"/>
      <c r="X1137" s="103"/>
      <c r="Y1137" s="103"/>
      <c r="Z1137" s="103"/>
      <c r="AA1137" s="103"/>
      <c r="AB1137" s="103"/>
      <c r="AC1137" s="103"/>
      <c r="AD1137" s="103"/>
      <c r="AE1137" s="103"/>
      <c r="AF1137" s="103"/>
      <c r="AG1137" s="103">
        <v>50</v>
      </c>
      <c r="AH1137" s="103"/>
      <c r="AI1137" s="103"/>
      <c r="AJ1137" s="103"/>
      <c r="AK1137" s="103"/>
      <c r="AL1137" s="103"/>
      <c r="AM1137" s="103"/>
      <c r="AN1137" s="103"/>
      <c r="AO1137" s="103"/>
      <c r="AP1137" s="103"/>
      <c r="AQ1137" s="103"/>
      <c r="AR1137" s="103"/>
      <c r="AS1137" s="103">
        <v>50</v>
      </c>
      <c r="AT1137" s="103"/>
      <c r="AU1137" s="103"/>
      <c r="AV1137" s="103"/>
      <c r="AW1137" s="104" t="str">
        <f>HYPERLINK("http://www.openstreetmap.org/?mlat=35.8575&amp;mlon=42.2152&amp;zoom=12#map=12/35.8575/42.2152","Maplink1")</f>
        <v>Maplink1</v>
      </c>
      <c r="AX1137" s="104" t="str">
        <f>HYPERLINK("https://www.google.iq/maps/search/+35.8575,42.2152/@35.8575,42.2152,14z?hl=en","Maplink2")</f>
        <v>Maplink2</v>
      </c>
      <c r="AY1137" s="104" t="str">
        <f>HYPERLINK("http://www.bing.com/maps/?lvl=14&amp;sty=h&amp;cp=35.8575~42.2152&amp;sp=point.35.8575_42.2152","Maplink3")</f>
        <v>Maplink3</v>
      </c>
    </row>
    <row r="1138" spans="1:51" x14ac:dyDescent="0.2">
      <c r="A1138" s="102">
        <v>27272</v>
      </c>
      <c r="B1138" s="103" t="s">
        <v>35</v>
      </c>
      <c r="C1138" s="103" t="s">
        <v>101</v>
      </c>
      <c r="D1138" s="103" t="s">
        <v>2248</v>
      </c>
      <c r="E1138" s="103" t="s">
        <v>2249</v>
      </c>
      <c r="F1138" s="103">
        <v>36.127521999999999</v>
      </c>
      <c r="G1138" s="103">
        <v>42.299418000000003</v>
      </c>
      <c r="H1138" s="102">
        <v>90</v>
      </c>
      <c r="I1138" s="102">
        <v>540</v>
      </c>
      <c r="J1138" s="103"/>
      <c r="K1138" s="103"/>
      <c r="L1138" s="103"/>
      <c r="M1138" s="103">
        <v>66</v>
      </c>
      <c r="N1138" s="103">
        <v>24</v>
      </c>
      <c r="O1138" s="103"/>
      <c r="P1138" s="103"/>
      <c r="Q1138" s="103"/>
      <c r="R1138" s="103"/>
      <c r="S1138" s="103"/>
      <c r="T1138" s="103"/>
      <c r="U1138" s="103"/>
      <c r="V1138" s="103"/>
      <c r="W1138" s="103"/>
      <c r="X1138" s="103"/>
      <c r="Y1138" s="103"/>
      <c r="Z1138" s="103"/>
      <c r="AA1138" s="103"/>
      <c r="AB1138" s="103"/>
      <c r="AC1138" s="103"/>
      <c r="AD1138" s="103"/>
      <c r="AE1138" s="103"/>
      <c r="AF1138" s="103"/>
      <c r="AG1138" s="103">
        <v>90</v>
      </c>
      <c r="AH1138" s="103"/>
      <c r="AI1138" s="103"/>
      <c r="AJ1138" s="103"/>
      <c r="AK1138" s="103"/>
      <c r="AL1138" s="103"/>
      <c r="AM1138" s="103"/>
      <c r="AN1138" s="103"/>
      <c r="AO1138" s="103"/>
      <c r="AP1138" s="103"/>
      <c r="AQ1138" s="103"/>
      <c r="AR1138" s="103"/>
      <c r="AS1138" s="103">
        <v>90</v>
      </c>
      <c r="AT1138" s="103"/>
      <c r="AU1138" s="103"/>
      <c r="AV1138" s="103"/>
      <c r="AW1138" s="104" t="str">
        <f>HYPERLINK("http://www.openstreetmap.org/?mlat=36.1275&amp;mlon=42.2994&amp;zoom=12#map=12/36.1275/42.2994","Maplink1")</f>
        <v>Maplink1</v>
      </c>
      <c r="AX1138" s="104" t="str">
        <f>HYPERLINK("https://www.google.iq/maps/search/+36.1275,42.2994/@36.1275,42.2994,14z?hl=en","Maplink2")</f>
        <v>Maplink2</v>
      </c>
      <c r="AY1138" s="104" t="str">
        <f>HYPERLINK("http://www.bing.com/maps/?lvl=14&amp;sty=h&amp;cp=36.1275~42.2994&amp;sp=point.36.1275_42.2994","Maplink3")</f>
        <v>Maplink3</v>
      </c>
    </row>
    <row r="1139" spans="1:51" x14ac:dyDescent="0.2">
      <c r="A1139" s="102">
        <v>33170</v>
      </c>
      <c r="B1139" s="103" t="s">
        <v>35</v>
      </c>
      <c r="C1139" s="103" t="s">
        <v>101</v>
      </c>
      <c r="D1139" s="103" t="s">
        <v>2301</v>
      </c>
      <c r="E1139" s="103" t="s">
        <v>2302</v>
      </c>
      <c r="F1139" s="103">
        <v>35.830390999999999</v>
      </c>
      <c r="G1139" s="103">
        <v>43.0355548255</v>
      </c>
      <c r="H1139" s="102">
        <v>22</v>
      </c>
      <c r="I1139" s="102">
        <v>132</v>
      </c>
      <c r="J1139" s="103"/>
      <c r="K1139" s="103"/>
      <c r="L1139" s="103"/>
      <c r="M1139" s="103">
        <v>22</v>
      </c>
      <c r="N1139" s="103"/>
      <c r="O1139" s="103"/>
      <c r="P1139" s="103"/>
      <c r="Q1139" s="103"/>
      <c r="R1139" s="103"/>
      <c r="S1139" s="103"/>
      <c r="T1139" s="103"/>
      <c r="U1139" s="103"/>
      <c r="V1139" s="103"/>
      <c r="W1139" s="103"/>
      <c r="X1139" s="103"/>
      <c r="Y1139" s="103"/>
      <c r="Z1139" s="103"/>
      <c r="AA1139" s="103"/>
      <c r="AB1139" s="103"/>
      <c r="AC1139" s="103">
        <v>11</v>
      </c>
      <c r="AD1139" s="103"/>
      <c r="AE1139" s="103"/>
      <c r="AF1139" s="103"/>
      <c r="AG1139" s="103">
        <v>9</v>
      </c>
      <c r="AH1139" s="103"/>
      <c r="AI1139" s="103">
        <v>2</v>
      </c>
      <c r="AJ1139" s="103"/>
      <c r="AK1139" s="103"/>
      <c r="AL1139" s="103"/>
      <c r="AM1139" s="103"/>
      <c r="AN1139" s="103"/>
      <c r="AO1139" s="103"/>
      <c r="AP1139" s="103"/>
      <c r="AQ1139" s="103"/>
      <c r="AR1139" s="103"/>
      <c r="AS1139" s="103">
        <v>22</v>
      </c>
      <c r="AT1139" s="103"/>
      <c r="AU1139" s="103"/>
      <c r="AV1139" s="103"/>
      <c r="AW1139" s="104" t="str">
        <f>HYPERLINK("http://www.openstreetmap.org/?mlat=35.8304&amp;mlon=43.0356&amp;zoom=12#map=12/35.8304/43.0356","Maplink1")</f>
        <v>Maplink1</v>
      </c>
      <c r="AX1139" s="104" t="str">
        <f>HYPERLINK("https://www.google.iq/maps/search/+35.8304,43.0356/@35.8304,43.0356,14z?hl=en","Maplink2")</f>
        <v>Maplink2</v>
      </c>
      <c r="AY1139" s="104" t="str">
        <f>HYPERLINK("http://www.bing.com/maps/?lvl=14&amp;sty=h&amp;cp=35.8304~43.0356&amp;sp=point.35.8304_43.0356","Maplink3")</f>
        <v>Maplink3</v>
      </c>
    </row>
    <row r="1140" spans="1:51" x14ac:dyDescent="0.2">
      <c r="A1140" s="102">
        <v>33862</v>
      </c>
      <c r="B1140" s="103" t="s">
        <v>35</v>
      </c>
      <c r="C1140" s="103" t="s">
        <v>101</v>
      </c>
      <c r="D1140" s="103" t="s">
        <v>2303</v>
      </c>
      <c r="E1140" s="103" t="s">
        <v>2304</v>
      </c>
      <c r="F1140" s="103">
        <v>36.172953999999997</v>
      </c>
      <c r="G1140" s="103">
        <v>42.220956000000001</v>
      </c>
      <c r="H1140" s="102">
        <v>60</v>
      </c>
      <c r="I1140" s="102">
        <v>360</v>
      </c>
      <c r="J1140" s="103"/>
      <c r="K1140" s="103"/>
      <c r="L1140" s="103"/>
      <c r="M1140" s="103">
        <v>60</v>
      </c>
      <c r="N1140" s="103"/>
      <c r="O1140" s="103"/>
      <c r="P1140" s="103"/>
      <c r="Q1140" s="103"/>
      <c r="R1140" s="103"/>
      <c r="S1140" s="103"/>
      <c r="T1140" s="103"/>
      <c r="U1140" s="103"/>
      <c r="V1140" s="103"/>
      <c r="W1140" s="103"/>
      <c r="X1140" s="103"/>
      <c r="Y1140" s="103"/>
      <c r="Z1140" s="103"/>
      <c r="AA1140" s="103"/>
      <c r="AB1140" s="103"/>
      <c r="AC1140" s="103"/>
      <c r="AD1140" s="103"/>
      <c r="AE1140" s="103"/>
      <c r="AF1140" s="103"/>
      <c r="AG1140" s="103">
        <v>60</v>
      </c>
      <c r="AH1140" s="103"/>
      <c r="AI1140" s="103"/>
      <c r="AJ1140" s="103"/>
      <c r="AK1140" s="103"/>
      <c r="AL1140" s="103"/>
      <c r="AM1140" s="103"/>
      <c r="AN1140" s="103"/>
      <c r="AO1140" s="103"/>
      <c r="AP1140" s="103"/>
      <c r="AQ1140" s="103"/>
      <c r="AR1140" s="103"/>
      <c r="AS1140" s="103">
        <v>60</v>
      </c>
      <c r="AT1140" s="103"/>
      <c r="AU1140" s="103"/>
      <c r="AV1140" s="103"/>
      <c r="AW1140" s="104" t="str">
        <f>HYPERLINK("http://www.openstreetmap.org/?mlat=36.173&amp;mlon=42.221&amp;zoom=12#map=12/36.173/42.221","Maplink1")</f>
        <v>Maplink1</v>
      </c>
      <c r="AX1140" s="104" t="str">
        <f>HYPERLINK("https://www.google.iq/maps/search/+36.173,42.221/@36.173,42.221,14z?hl=en","Maplink2")</f>
        <v>Maplink2</v>
      </c>
      <c r="AY1140" s="104" t="str">
        <f>HYPERLINK("http://www.bing.com/maps/?lvl=14&amp;sty=h&amp;cp=36.173~42.221&amp;sp=point.36.173_42.221","Maplink3")</f>
        <v>Maplink3</v>
      </c>
    </row>
    <row r="1141" spans="1:51" x14ac:dyDescent="0.2">
      <c r="A1141" s="102">
        <v>33196</v>
      </c>
      <c r="B1141" s="103" t="s">
        <v>35</v>
      </c>
      <c r="C1141" s="103" t="s">
        <v>101</v>
      </c>
      <c r="D1141" s="103" t="s">
        <v>2317</v>
      </c>
      <c r="E1141" s="103" t="s">
        <v>2318</v>
      </c>
      <c r="F1141" s="103">
        <v>35.772959999999998</v>
      </c>
      <c r="G1141" s="103">
        <v>42.777782000000002</v>
      </c>
      <c r="H1141" s="102">
        <v>15</v>
      </c>
      <c r="I1141" s="102">
        <v>90</v>
      </c>
      <c r="J1141" s="103"/>
      <c r="K1141" s="103"/>
      <c r="L1141" s="103"/>
      <c r="M1141" s="103">
        <v>15</v>
      </c>
      <c r="N1141" s="103"/>
      <c r="O1141" s="103"/>
      <c r="P1141" s="103"/>
      <c r="Q1141" s="103"/>
      <c r="R1141" s="103"/>
      <c r="S1141" s="103"/>
      <c r="T1141" s="103"/>
      <c r="U1141" s="103"/>
      <c r="V1141" s="103"/>
      <c r="W1141" s="103"/>
      <c r="X1141" s="103"/>
      <c r="Y1141" s="103"/>
      <c r="Z1141" s="103"/>
      <c r="AA1141" s="103"/>
      <c r="AB1141" s="103"/>
      <c r="AC1141" s="103"/>
      <c r="AD1141" s="103"/>
      <c r="AE1141" s="103"/>
      <c r="AF1141" s="103"/>
      <c r="AG1141" s="103">
        <v>15</v>
      </c>
      <c r="AH1141" s="103"/>
      <c r="AI1141" s="103"/>
      <c r="AJ1141" s="103"/>
      <c r="AK1141" s="103"/>
      <c r="AL1141" s="103"/>
      <c r="AM1141" s="103"/>
      <c r="AN1141" s="103"/>
      <c r="AO1141" s="103"/>
      <c r="AP1141" s="103"/>
      <c r="AQ1141" s="103"/>
      <c r="AR1141" s="103"/>
      <c r="AS1141" s="103">
        <v>15</v>
      </c>
      <c r="AT1141" s="103"/>
      <c r="AU1141" s="103"/>
      <c r="AV1141" s="103"/>
      <c r="AW1141" s="104" t="str">
        <f>HYPERLINK("http://www.openstreetmap.org/?mlat=35.773&amp;mlon=42.7778&amp;zoom=12#map=12/35.773/42.7778","Maplink1")</f>
        <v>Maplink1</v>
      </c>
      <c r="AX1141" s="104" t="str">
        <f>HYPERLINK("https://www.google.iq/maps/search/+35.773,42.7778/@35.773,42.7778,14z?hl=en","Maplink2")</f>
        <v>Maplink2</v>
      </c>
      <c r="AY1141" s="104" t="str">
        <f>HYPERLINK("http://www.bing.com/maps/?lvl=14&amp;sty=h&amp;cp=35.773~42.7778&amp;sp=point.35.773_42.7778","Maplink3")</f>
        <v>Maplink3</v>
      </c>
    </row>
    <row r="1142" spans="1:51" x14ac:dyDescent="0.2">
      <c r="A1142" s="102">
        <v>33737</v>
      </c>
      <c r="B1142" s="103" t="s">
        <v>35</v>
      </c>
      <c r="C1142" s="103" t="s">
        <v>101</v>
      </c>
      <c r="D1142" s="103" t="s">
        <v>2319</v>
      </c>
      <c r="E1142" s="103" t="s">
        <v>2320</v>
      </c>
      <c r="F1142" s="103">
        <v>35.973050000000001</v>
      </c>
      <c r="G1142" s="103">
        <v>42.428429999999999</v>
      </c>
      <c r="H1142" s="102">
        <v>15</v>
      </c>
      <c r="I1142" s="102">
        <v>90</v>
      </c>
      <c r="J1142" s="103"/>
      <c r="K1142" s="103"/>
      <c r="L1142" s="103"/>
      <c r="M1142" s="103">
        <v>15</v>
      </c>
      <c r="N1142" s="103"/>
      <c r="O1142" s="103"/>
      <c r="P1142" s="103"/>
      <c r="Q1142" s="103"/>
      <c r="R1142" s="103"/>
      <c r="S1142" s="103"/>
      <c r="T1142" s="103"/>
      <c r="U1142" s="103"/>
      <c r="V1142" s="103"/>
      <c r="W1142" s="103"/>
      <c r="X1142" s="103"/>
      <c r="Y1142" s="103"/>
      <c r="Z1142" s="103"/>
      <c r="AA1142" s="103"/>
      <c r="AB1142" s="103"/>
      <c r="AC1142" s="103"/>
      <c r="AD1142" s="103"/>
      <c r="AE1142" s="103"/>
      <c r="AF1142" s="103"/>
      <c r="AG1142" s="103">
        <v>15</v>
      </c>
      <c r="AH1142" s="103"/>
      <c r="AI1142" s="103"/>
      <c r="AJ1142" s="103"/>
      <c r="AK1142" s="103"/>
      <c r="AL1142" s="103"/>
      <c r="AM1142" s="103"/>
      <c r="AN1142" s="103"/>
      <c r="AO1142" s="103"/>
      <c r="AP1142" s="103"/>
      <c r="AQ1142" s="103"/>
      <c r="AR1142" s="103"/>
      <c r="AS1142" s="103">
        <v>15</v>
      </c>
      <c r="AT1142" s="103"/>
      <c r="AU1142" s="103"/>
      <c r="AV1142" s="103"/>
      <c r="AW1142" s="104" t="str">
        <f>HYPERLINK("http://www.openstreetmap.org/?mlat=35.9731&amp;mlon=42.4284&amp;zoom=12#map=12/35.9731/42.4284","Maplink1")</f>
        <v>Maplink1</v>
      </c>
      <c r="AX1142" s="104" t="str">
        <f>HYPERLINK("https://www.google.iq/maps/search/+35.9731,42.4284/@35.9731,42.4284,14z?hl=en","Maplink2")</f>
        <v>Maplink2</v>
      </c>
      <c r="AY1142" s="104" t="str">
        <f>HYPERLINK("http://www.bing.com/maps/?lvl=14&amp;sty=h&amp;cp=35.9731~42.4284&amp;sp=point.35.9731_42.4284","Maplink3")</f>
        <v>Maplink3</v>
      </c>
    </row>
    <row r="1143" spans="1:51" x14ac:dyDescent="0.2">
      <c r="A1143" s="102">
        <v>32083</v>
      </c>
      <c r="B1143" s="103" t="s">
        <v>35</v>
      </c>
      <c r="C1143" s="103" t="s">
        <v>101</v>
      </c>
      <c r="D1143" s="103" t="s">
        <v>2278</v>
      </c>
      <c r="E1143" s="103" t="s">
        <v>2279</v>
      </c>
      <c r="F1143" s="103">
        <v>35.899494900000001</v>
      </c>
      <c r="G1143" s="103">
        <v>42.884891833600001</v>
      </c>
      <c r="H1143" s="102">
        <v>82</v>
      </c>
      <c r="I1143" s="102">
        <v>492</v>
      </c>
      <c r="J1143" s="103"/>
      <c r="K1143" s="103"/>
      <c r="L1143" s="103"/>
      <c r="M1143" s="103">
        <v>80</v>
      </c>
      <c r="N1143" s="103">
        <v>2</v>
      </c>
      <c r="O1143" s="103"/>
      <c r="P1143" s="103"/>
      <c r="Q1143" s="103"/>
      <c r="R1143" s="103"/>
      <c r="S1143" s="103"/>
      <c r="T1143" s="103"/>
      <c r="U1143" s="103"/>
      <c r="V1143" s="103"/>
      <c r="W1143" s="103"/>
      <c r="X1143" s="103"/>
      <c r="Y1143" s="103"/>
      <c r="Z1143" s="103"/>
      <c r="AA1143" s="103"/>
      <c r="AB1143" s="103"/>
      <c r="AC1143" s="103"/>
      <c r="AD1143" s="103"/>
      <c r="AE1143" s="103"/>
      <c r="AF1143" s="103"/>
      <c r="AG1143" s="103">
        <v>82</v>
      </c>
      <c r="AH1143" s="103"/>
      <c r="AI1143" s="103"/>
      <c r="AJ1143" s="103"/>
      <c r="AK1143" s="103"/>
      <c r="AL1143" s="103"/>
      <c r="AM1143" s="103"/>
      <c r="AN1143" s="103"/>
      <c r="AO1143" s="103"/>
      <c r="AP1143" s="103"/>
      <c r="AQ1143" s="103"/>
      <c r="AR1143" s="103"/>
      <c r="AS1143" s="103">
        <v>82</v>
      </c>
      <c r="AT1143" s="103"/>
      <c r="AU1143" s="103"/>
      <c r="AV1143" s="103"/>
      <c r="AW1143" s="104" t="str">
        <f>HYPERLINK("http://www.openstreetmap.org/?mlat=35.8995&amp;mlon=42.8849&amp;zoom=12#map=12/35.8995/42.8849","Maplink1")</f>
        <v>Maplink1</v>
      </c>
      <c r="AX1143" s="104" t="str">
        <f>HYPERLINK("https://www.google.iq/maps/search/+35.8995,42.8849/@35.8995,42.8849,14z?hl=en","Maplink2")</f>
        <v>Maplink2</v>
      </c>
      <c r="AY1143" s="104" t="str">
        <f>HYPERLINK("http://www.bing.com/maps/?lvl=14&amp;sty=h&amp;cp=35.8995~42.8849&amp;sp=point.35.8995_42.8849","Maplink3")</f>
        <v>Maplink3</v>
      </c>
    </row>
    <row r="1144" spans="1:51" x14ac:dyDescent="0.2">
      <c r="A1144" s="102">
        <v>33182</v>
      </c>
      <c r="B1144" s="103" t="s">
        <v>35</v>
      </c>
      <c r="C1144" s="103" t="s">
        <v>101</v>
      </c>
      <c r="D1144" s="103" t="s">
        <v>2280</v>
      </c>
      <c r="E1144" s="103" t="s">
        <v>2281</v>
      </c>
      <c r="F1144" s="103">
        <v>35.982176000000003</v>
      </c>
      <c r="G1144" s="103">
        <v>42.695250999999999</v>
      </c>
      <c r="H1144" s="102">
        <v>85</v>
      </c>
      <c r="I1144" s="102">
        <v>510</v>
      </c>
      <c r="J1144" s="103"/>
      <c r="K1144" s="103"/>
      <c r="L1144" s="103"/>
      <c r="M1144" s="103">
        <v>80</v>
      </c>
      <c r="N1144" s="103">
        <v>5</v>
      </c>
      <c r="O1144" s="103"/>
      <c r="P1144" s="103"/>
      <c r="Q1144" s="103"/>
      <c r="R1144" s="103"/>
      <c r="S1144" s="103"/>
      <c r="T1144" s="103"/>
      <c r="U1144" s="103"/>
      <c r="V1144" s="103"/>
      <c r="W1144" s="103"/>
      <c r="X1144" s="103"/>
      <c r="Y1144" s="103"/>
      <c r="Z1144" s="103"/>
      <c r="AA1144" s="103"/>
      <c r="AB1144" s="103"/>
      <c r="AC1144" s="103"/>
      <c r="AD1144" s="103"/>
      <c r="AE1144" s="103"/>
      <c r="AF1144" s="103"/>
      <c r="AG1144" s="103">
        <v>85</v>
      </c>
      <c r="AH1144" s="103"/>
      <c r="AI1144" s="103"/>
      <c r="AJ1144" s="103"/>
      <c r="AK1144" s="103"/>
      <c r="AL1144" s="103"/>
      <c r="AM1144" s="103"/>
      <c r="AN1144" s="103"/>
      <c r="AO1144" s="103"/>
      <c r="AP1144" s="103"/>
      <c r="AQ1144" s="103"/>
      <c r="AR1144" s="103"/>
      <c r="AS1144" s="103">
        <v>85</v>
      </c>
      <c r="AT1144" s="103"/>
      <c r="AU1144" s="103"/>
      <c r="AV1144" s="103"/>
      <c r="AW1144" s="104" t="str">
        <f>HYPERLINK("http://www.openstreetmap.org/?mlat=35.9822&amp;mlon=42.6953&amp;zoom=12#map=12/35.9822/42.6953","Maplink1")</f>
        <v>Maplink1</v>
      </c>
      <c r="AX1144" s="104" t="str">
        <f>HYPERLINK("https://www.google.iq/maps/search/+35.9822,42.6953/@35.9822,42.6953,14z?hl=en","Maplink2")</f>
        <v>Maplink2</v>
      </c>
      <c r="AY1144" s="104" t="str">
        <f>HYPERLINK("http://www.bing.com/maps/?lvl=14&amp;sty=h&amp;cp=35.9822~42.6953&amp;sp=point.35.9822_42.6953","Maplink3")</f>
        <v>Maplink3</v>
      </c>
    </row>
    <row r="1145" spans="1:51" x14ac:dyDescent="0.2">
      <c r="A1145" s="102">
        <v>33194</v>
      </c>
      <c r="B1145" s="103" t="s">
        <v>35</v>
      </c>
      <c r="C1145" s="103" t="s">
        <v>101</v>
      </c>
      <c r="D1145" s="103" t="s">
        <v>2282</v>
      </c>
      <c r="E1145" s="103" t="s">
        <v>2283</v>
      </c>
      <c r="F1145" s="103">
        <v>35.843725999999997</v>
      </c>
      <c r="G1145" s="103">
        <v>42.867229000000002</v>
      </c>
      <c r="H1145" s="102">
        <v>10</v>
      </c>
      <c r="I1145" s="102">
        <v>60</v>
      </c>
      <c r="J1145" s="103"/>
      <c r="K1145" s="103"/>
      <c r="L1145" s="103"/>
      <c r="M1145" s="103">
        <v>10</v>
      </c>
      <c r="N1145" s="103"/>
      <c r="O1145" s="103"/>
      <c r="P1145" s="103"/>
      <c r="Q1145" s="103"/>
      <c r="R1145" s="103"/>
      <c r="S1145" s="103"/>
      <c r="T1145" s="103"/>
      <c r="U1145" s="103"/>
      <c r="V1145" s="103"/>
      <c r="W1145" s="103"/>
      <c r="X1145" s="103"/>
      <c r="Y1145" s="103"/>
      <c r="Z1145" s="103"/>
      <c r="AA1145" s="103"/>
      <c r="AB1145" s="103"/>
      <c r="AC1145" s="103"/>
      <c r="AD1145" s="103"/>
      <c r="AE1145" s="103"/>
      <c r="AF1145" s="103"/>
      <c r="AG1145" s="103">
        <v>10</v>
      </c>
      <c r="AH1145" s="103"/>
      <c r="AI1145" s="103"/>
      <c r="AJ1145" s="103"/>
      <c r="AK1145" s="103"/>
      <c r="AL1145" s="103"/>
      <c r="AM1145" s="103"/>
      <c r="AN1145" s="103"/>
      <c r="AO1145" s="103"/>
      <c r="AP1145" s="103"/>
      <c r="AQ1145" s="103"/>
      <c r="AR1145" s="103"/>
      <c r="AS1145" s="103">
        <v>10</v>
      </c>
      <c r="AT1145" s="103"/>
      <c r="AU1145" s="103"/>
      <c r="AV1145" s="103"/>
      <c r="AW1145" s="104" t="str">
        <f>HYPERLINK("http://www.openstreetmap.org/?mlat=35.8437&amp;mlon=42.8672&amp;zoom=12#map=12/35.8437/42.8672","Maplink1")</f>
        <v>Maplink1</v>
      </c>
      <c r="AX1145" s="104" t="str">
        <f>HYPERLINK("https://www.google.iq/maps/search/+35.8437,42.8672/@35.8437,42.8672,14z?hl=en","Maplink2")</f>
        <v>Maplink2</v>
      </c>
      <c r="AY1145" s="104" t="str">
        <f>HYPERLINK("http://www.bing.com/maps/?lvl=14&amp;sty=h&amp;cp=35.8437~42.8672&amp;sp=point.35.8437_42.8672","Maplink3")</f>
        <v>Maplink3</v>
      </c>
    </row>
    <row r="1146" spans="1:51" x14ac:dyDescent="0.2">
      <c r="A1146" s="102">
        <v>33988</v>
      </c>
      <c r="B1146" s="103" t="s">
        <v>35</v>
      </c>
      <c r="C1146" s="103" t="s">
        <v>101</v>
      </c>
      <c r="D1146" s="103" t="s">
        <v>2284</v>
      </c>
      <c r="E1146" s="103" t="s">
        <v>2285</v>
      </c>
      <c r="F1146" s="103">
        <v>35.78105</v>
      </c>
      <c r="G1146" s="103">
        <v>42.543909999999997</v>
      </c>
      <c r="H1146" s="102">
        <v>30</v>
      </c>
      <c r="I1146" s="102">
        <v>180</v>
      </c>
      <c r="J1146" s="103"/>
      <c r="K1146" s="103"/>
      <c r="L1146" s="103"/>
      <c r="M1146" s="103">
        <v>30</v>
      </c>
      <c r="N1146" s="103"/>
      <c r="O1146" s="103"/>
      <c r="P1146" s="103"/>
      <c r="Q1146" s="103"/>
      <c r="R1146" s="103"/>
      <c r="S1146" s="103"/>
      <c r="T1146" s="103"/>
      <c r="U1146" s="103"/>
      <c r="V1146" s="103"/>
      <c r="W1146" s="103"/>
      <c r="X1146" s="103"/>
      <c r="Y1146" s="103"/>
      <c r="Z1146" s="103"/>
      <c r="AA1146" s="103"/>
      <c r="AB1146" s="103"/>
      <c r="AC1146" s="103"/>
      <c r="AD1146" s="103"/>
      <c r="AE1146" s="103"/>
      <c r="AF1146" s="103"/>
      <c r="AG1146" s="103">
        <v>30</v>
      </c>
      <c r="AH1146" s="103"/>
      <c r="AI1146" s="103"/>
      <c r="AJ1146" s="103"/>
      <c r="AK1146" s="103"/>
      <c r="AL1146" s="103"/>
      <c r="AM1146" s="103"/>
      <c r="AN1146" s="103"/>
      <c r="AO1146" s="103"/>
      <c r="AP1146" s="103"/>
      <c r="AQ1146" s="103"/>
      <c r="AR1146" s="103"/>
      <c r="AS1146" s="103">
        <v>30</v>
      </c>
      <c r="AT1146" s="103"/>
      <c r="AU1146" s="103"/>
      <c r="AV1146" s="103"/>
      <c r="AW1146" s="104" t="str">
        <f>HYPERLINK("http://www.openstreetmap.org/?mlat=35.7811&amp;mlon=42.5439&amp;zoom=12#map=12/35.7811/42.5439","Maplink1")</f>
        <v>Maplink1</v>
      </c>
      <c r="AX1146" s="104" t="str">
        <f>HYPERLINK("https://www.google.iq/maps/search/+35.7811,42.5439/@35.7811,42.5439,14z?hl=en","Maplink2")</f>
        <v>Maplink2</v>
      </c>
      <c r="AY1146" s="104" t="str">
        <f>HYPERLINK("http://www.bing.com/maps/?lvl=14&amp;sty=h&amp;cp=35.7811~42.5439&amp;sp=point.35.7811_42.5439","Maplink3")</f>
        <v>Maplink3</v>
      </c>
    </row>
    <row r="1147" spans="1:51" x14ac:dyDescent="0.2">
      <c r="A1147" s="102">
        <v>33993</v>
      </c>
      <c r="B1147" s="103" t="s">
        <v>35</v>
      </c>
      <c r="C1147" s="103" t="s">
        <v>101</v>
      </c>
      <c r="D1147" s="103" t="s">
        <v>2286</v>
      </c>
      <c r="E1147" s="103" t="s">
        <v>2287</v>
      </c>
      <c r="F1147" s="103">
        <v>35.881585000000001</v>
      </c>
      <c r="G1147" s="103">
        <v>42.468915000000003</v>
      </c>
      <c r="H1147" s="102">
        <v>90</v>
      </c>
      <c r="I1147" s="102">
        <v>540</v>
      </c>
      <c r="J1147" s="103"/>
      <c r="K1147" s="103"/>
      <c r="L1147" s="103"/>
      <c r="M1147" s="103">
        <v>89</v>
      </c>
      <c r="N1147" s="103">
        <v>1</v>
      </c>
      <c r="O1147" s="103"/>
      <c r="P1147" s="103"/>
      <c r="Q1147" s="103"/>
      <c r="R1147" s="103"/>
      <c r="S1147" s="103"/>
      <c r="T1147" s="103"/>
      <c r="U1147" s="103"/>
      <c r="V1147" s="103"/>
      <c r="W1147" s="103"/>
      <c r="X1147" s="103"/>
      <c r="Y1147" s="103"/>
      <c r="Z1147" s="103"/>
      <c r="AA1147" s="103"/>
      <c r="AB1147" s="103"/>
      <c r="AC1147" s="103"/>
      <c r="AD1147" s="103"/>
      <c r="AE1147" s="103"/>
      <c r="AF1147" s="103"/>
      <c r="AG1147" s="103">
        <v>90</v>
      </c>
      <c r="AH1147" s="103"/>
      <c r="AI1147" s="103"/>
      <c r="AJ1147" s="103"/>
      <c r="AK1147" s="103"/>
      <c r="AL1147" s="103"/>
      <c r="AM1147" s="103"/>
      <c r="AN1147" s="103"/>
      <c r="AO1147" s="103"/>
      <c r="AP1147" s="103"/>
      <c r="AQ1147" s="103"/>
      <c r="AR1147" s="103"/>
      <c r="AS1147" s="103">
        <v>90</v>
      </c>
      <c r="AT1147" s="103"/>
      <c r="AU1147" s="103"/>
      <c r="AV1147" s="103"/>
      <c r="AW1147" s="104" t="str">
        <f>HYPERLINK("http://www.openstreetmap.org/?mlat=35.8816&amp;mlon=42.4689&amp;zoom=12#map=12/35.8816/42.4689","Maplink1")</f>
        <v>Maplink1</v>
      </c>
      <c r="AX1147" s="104" t="str">
        <f>HYPERLINK("https://www.google.iq/maps/search/+35.8816,42.4689/@35.8816,42.4689,14z?hl=en","Maplink2")</f>
        <v>Maplink2</v>
      </c>
      <c r="AY1147" s="104" t="str">
        <f>HYPERLINK("http://www.bing.com/maps/?lvl=14&amp;sty=h&amp;cp=35.8816~42.4689&amp;sp=point.35.8816_42.4689","Maplink3")</f>
        <v>Maplink3</v>
      </c>
    </row>
    <row r="1148" spans="1:51" x14ac:dyDescent="0.2">
      <c r="A1148" s="102">
        <v>33393</v>
      </c>
      <c r="B1148" s="103" t="s">
        <v>35</v>
      </c>
      <c r="C1148" s="103" t="s">
        <v>101</v>
      </c>
      <c r="D1148" s="103" t="s">
        <v>2272</v>
      </c>
      <c r="E1148" s="103" t="s">
        <v>2273</v>
      </c>
      <c r="F1148" s="103">
        <v>36.005232999999997</v>
      </c>
      <c r="G1148" s="103">
        <v>42.353091174200003</v>
      </c>
      <c r="H1148" s="102">
        <v>302</v>
      </c>
      <c r="I1148" s="102">
        <v>1812</v>
      </c>
      <c r="J1148" s="103"/>
      <c r="K1148" s="103"/>
      <c r="L1148" s="103"/>
      <c r="M1148" s="103">
        <v>302</v>
      </c>
      <c r="N1148" s="103"/>
      <c r="O1148" s="103"/>
      <c r="P1148" s="103"/>
      <c r="Q1148" s="103"/>
      <c r="R1148" s="103"/>
      <c r="S1148" s="103"/>
      <c r="T1148" s="103"/>
      <c r="U1148" s="103"/>
      <c r="V1148" s="103"/>
      <c r="W1148" s="103"/>
      <c r="X1148" s="103"/>
      <c r="Y1148" s="103"/>
      <c r="Z1148" s="103"/>
      <c r="AA1148" s="103"/>
      <c r="AB1148" s="103"/>
      <c r="AC1148" s="103"/>
      <c r="AD1148" s="103"/>
      <c r="AE1148" s="103"/>
      <c r="AF1148" s="103"/>
      <c r="AG1148" s="103">
        <v>302</v>
      </c>
      <c r="AH1148" s="103"/>
      <c r="AI1148" s="103"/>
      <c r="AJ1148" s="103"/>
      <c r="AK1148" s="103"/>
      <c r="AL1148" s="103"/>
      <c r="AM1148" s="103"/>
      <c r="AN1148" s="103"/>
      <c r="AO1148" s="103"/>
      <c r="AP1148" s="103"/>
      <c r="AQ1148" s="103"/>
      <c r="AR1148" s="103"/>
      <c r="AS1148" s="103">
        <v>302</v>
      </c>
      <c r="AT1148" s="103"/>
      <c r="AU1148" s="103"/>
      <c r="AV1148" s="103"/>
      <c r="AW1148" s="104" t="str">
        <f>HYPERLINK("http://www.openstreetmap.org/?mlat=36.0052&amp;mlon=42.3531&amp;zoom=12#map=12/36.0052/42.3531","Maplink1")</f>
        <v>Maplink1</v>
      </c>
      <c r="AX1148" s="104" t="str">
        <f>HYPERLINK("https://www.google.iq/maps/search/+36.0052,42.3531/@36.0052,42.3531,14z?hl=en","Maplink2")</f>
        <v>Maplink2</v>
      </c>
      <c r="AY1148" s="104" t="str">
        <f>HYPERLINK("http://www.bing.com/maps/?lvl=14&amp;sty=h&amp;cp=36.0052~42.3531&amp;sp=point.36.0052_42.3531","Maplink3")</f>
        <v>Maplink3</v>
      </c>
    </row>
    <row r="1149" spans="1:51" x14ac:dyDescent="0.2">
      <c r="A1149" s="102">
        <v>33742</v>
      </c>
      <c r="B1149" s="103" t="s">
        <v>35</v>
      </c>
      <c r="C1149" s="103" t="s">
        <v>101</v>
      </c>
      <c r="D1149" s="103" t="s">
        <v>2274</v>
      </c>
      <c r="E1149" s="103" t="s">
        <v>2275</v>
      </c>
      <c r="F1149" s="103">
        <v>35.962395000000001</v>
      </c>
      <c r="G1149" s="103">
        <v>42.468594000000003</v>
      </c>
      <c r="H1149" s="102">
        <v>35</v>
      </c>
      <c r="I1149" s="102">
        <v>210</v>
      </c>
      <c r="J1149" s="103"/>
      <c r="K1149" s="103"/>
      <c r="L1149" s="103"/>
      <c r="M1149" s="103">
        <v>35</v>
      </c>
      <c r="N1149" s="103"/>
      <c r="O1149" s="103"/>
      <c r="P1149" s="103"/>
      <c r="Q1149" s="103"/>
      <c r="R1149" s="103"/>
      <c r="S1149" s="103"/>
      <c r="T1149" s="103"/>
      <c r="U1149" s="103"/>
      <c r="V1149" s="103"/>
      <c r="W1149" s="103"/>
      <c r="X1149" s="103"/>
      <c r="Y1149" s="103"/>
      <c r="Z1149" s="103"/>
      <c r="AA1149" s="103"/>
      <c r="AB1149" s="103"/>
      <c r="AC1149" s="103"/>
      <c r="AD1149" s="103"/>
      <c r="AE1149" s="103"/>
      <c r="AF1149" s="103"/>
      <c r="AG1149" s="103">
        <v>35</v>
      </c>
      <c r="AH1149" s="103"/>
      <c r="AI1149" s="103"/>
      <c r="AJ1149" s="103"/>
      <c r="AK1149" s="103"/>
      <c r="AL1149" s="103"/>
      <c r="AM1149" s="103"/>
      <c r="AN1149" s="103"/>
      <c r="AO1149" s="103"/>
      <c r="AP1149" s="103"/>
      <c r="AQ1149" s="103"/>
      <c r="AR1149" s="103"/>
      <c r="AS1149" s="103">
        <v>35</v>
      </c>
      <c r="AT1149" s="103"/>
      <c r="AU1149" s="103"/>
      <c r="AV1149" s="103"/>
      <c r="AW1149" s="104" t="str">
        <f>HYPERLINK("http://www.openstreetmap.org/?mlat=35.9624&amp;mlon=42.4686&amp;zoom=12#map=12/35.9624/42.4686","Maplink1")</f>
        <v>Maplink1</v>
      </c>
      <c r="AX1149" s="104" t="str">
        <f>HYPERLINK("https://www.google.iq/maps/search/+35.9624,42.4686/@35.9624,42.4686,14z?hl=en","Maplink2")</f>
        <v>Maplink2</v>
      </c>
      <c r="AY1149" s="104" t="str">
        <f>HYPERLINK("http://www.bing.com/maps/?lvl=14&amp;sty=h&amp;cp=35.9624~42.4686&amp;sp=point.35.9624_42.4686","Maplink3")</f>
        <v>Maplink3</v>
      </c>
    </row>
    <row r="1150" spans="1:51" x14ac:dyDescent="0.2">
      <c r="A1150" s="102">
        <v>33987</v>
      </c>
      <c r="B1150" s="103" t="s">
        <v>35</v>
      </c>
      <c r="C1150" s="103" t="s">
        <v>101</v>
      </c>
      <c r="D1150" s="103" t="s">
        <v>2276</v>
      </c>
      <c r="E1150" s="103" t="s">
        <v>2277</v>
      </c>
      <c r="F1150" s="103">
        <v>35.942337000000002</v>
      </c>
      <c r="G1150" s="103">
        <v>42.356484999999999</v>
      </c>
      <c r="H1150" s="102">
        <v>13</v>
      </c>
      <c r="I1150" s="102">
        <v>78</v>
      </c>
      <c r="J1150" s="103"/>
      <c r="K1150" s="103"/>
      <c r="L1150" s="103"/>
      <c r="M1150" s="103">
        <v>11</v>
      </c>
      <c r="N1150" s="103">
        <v>2</v>
      </c>
      <c r="O1150" s="103"/>
      <c r="P1150" s="103"/>
      <c r="Q1150" s="103"/>
      <c r="R1150" s="103"/>
      <c r="S1150" s="103"/>
      <c r="T1150" s="103"/>
      <c r="U1150" s="103"/>
      <c r="V1150" s="103"/>
      <c r="W1150" s="103"/>
      <c r="X1150" s="103"/>
      <c r="Y1150" s="103"/>
      <c r="Z1150" s="103"/>
      <c r="AA1150" s="103"/>
      <c r="AB1150" s="103"/>
      <c r="AC1150" s="103"/>
      <c r="AD1150" s="103"/>
      <c r="AE1150" s="103"/>
      <c r="AF1150" s="103"/>
      <c r="AG1150" s="103">
        <v>13</v>
      </c>
      <c r="AH1150" s="103"/>
      <c r="AI1150" s="103"/>
      <c r="AJ1150" s="103"/>
      <c r="AK1150" s="103"/>
      <c r="AL1150" s="103"/>
      <c r="AM1150" s="103"/>
      <c r="AN1150" s="103"/>
      <c r="AO1150" s="103"/>
      <c r="AP1150" s="103"/>
      <c r="AQ1150" s="103"/>
      <c r="AR1150" s="103"/>
      <c r="AS1150" s="103">
        <v>13</v>
      </c>
      <c r="AT1150" s="103"/>
      <c r="AU1150" s="103"/>
      <c r="AV1150" s="103"/>
      <c r="AW1150" s="104" t="str">
        <f>HYPERLINK("http://www.openstreetmap.org/?mlat=35.9423&amp;mlon=42.3565&amp;zoom=12#map=12/35.9423/42.3565","Maplink1")</f>
        <v>Maplink1</v>
      </c>
      <c r="AX1150" s="104" t="str">
        <f>HYPERLINK("https://www.google.iq/maps/search/+35.9423,42.3565/@35.9423,42.3565,14z?hl=en","Maplink2")</f>
        <v>Maplink2</v>
      </c>
      <c r="AY1150" s="104" t="str">
        <f>HYPERLINK("http://www.bing.com/maps/?lvl=14&amp;sty=h&amp;cp=35.9423~42.3565&amp;sp=point.35.9423_42.3565","Maplink3")</f>
        <v>Maplink3</v>
      </c>
    </row>
    <row r="1151" spans="1:51" x14ac:dyDescent="0.2">
      <c r="A1151" s="102">
        <v>33860</v>
      </c>
      <c r="B1151" s="103" t="s">
        <v>35</v>
      </c>
      <c r="C1151" s="103" t="s">
        <v>101</v>
      </c>
      <c r="D1151" s="103" t="s">
        <v>2266</v>
      </c>
      <c r="E1151" s="103" t="s">
        <v>2267</v>
      </c>
      <c r="F1151" s="103">
        <v>36.227654000000001</v>
      </c>
      <c r="G1151" s="103">
        <v>42.339936999999999</v>
      </c>
      <c r="H1151" s="102">
        <v>100</v>
      </c>
      <c r="I1151" s="102">
        <v>600</v>
      </c>
      <c r="J1151" s="103"/>
      <c r="K1151" s="103"/>
      <c r="L1151" s="103"/>
      <c r="M1151" s="103">
        <v>100</v>
      </c>
      <c r="N1151" s="103"/>
      <c r="O1151" s="103"/>
      <c r="P1151" s="103"/>
      <c r="Q1151" s="103"/>
      <c r="R1151" s="103"/>
      <c r="S1151" s="103"/>
      <c r="T1151" s="103"/>
      <c r="U1151" s="103"/>
      <c r="V1151" s="103"/>
      <c r="W1151" s="103"/>
      <c r="X1151" s="103"/>
      <c r="Y1151" s="103"/>
      <c r="Z1151" s="103"/>
      <c r="AA1151" s="103"/>
      <c r="AB1151" s="103"/>
      <c r="AC1151" s="103"/>
      <c r="AD1151" s="103"/>
      <c r="AE1151" s="103"/>
      <c r="AF1151" s="103"/>
      <c r="AG1151" s="103">
        <v>100</v>
      </c>
      <c r="AH1151" s="103"/>
      <c r="AI1151" s="103"/>
      <c r="AJ1151" s="103"/>
      <c r="AK1151" s="103"/>
      <c r="AL1151" s="103"/>
      <c r="AM1151" s="103"/>
      <c r="AN1151" s="103"/>
      <c r="AO1151" s="103"/>
      <c r="AP1151" s="103"/>
      <c r="AQ1151" s="103"/>
      <c r="AR1151" s="103"/>
      <c r="AS1151" s="103">
        <v>100</v>
      </c>
      <c r="AT1151" s="103"/>
      <c r="AU1151" s="103"/>
      <c r="AV1151" s="103"/>
      <c r="AW1151" s="104" t="str">
        <f>HYPERLINK("http://www.openstreetmap.org/?mlat=36.2277&amp;mlon=42.3399&amp;zoom=12#map=12/36.2277/42.3399","Maplink1")</f>
        <v>Maplink1</v>
      </c>
      <c r="AX1151" s="104" t="str">
        <f>HYPERLINK("https://www.google.iq/maps/search/+36.2277,42.3399/@36.2277,42.3399,14z?hl=en","Maplink2")</f>
        <v>Maplink2</v>
      </c>
      <c r="AY1151" s="104" t="str">
        <f>HYPERLINK("http://www.bing.com/maps/?lvl=14&amp;sty=h&amp;cp=36.2277~42.3399&amp;sp=point.36.2277_42.3399","Maplink3")</f>
        <v>Maplink3</v>
      </c>
    </row>
    <row r="1152" spans="1:51" x14ac:dyDescent="0.2">
      <c r="A1152" s="102">
        <v>33975</v>
      </c>
      <c r="B1152" s="103" t="s">
        <v>35</v>
      </c>
      <c r="C1152" s="103" t="s">
        <v>101</v>
      </c>
      <c r="D1152" s="103" t="s">
        <v>2268</v>
      </c>
      <c r="E1152" s="103" t="s">
        <v>2269</v>
      </c>
      <c r="F1152" s="103">
        <v>35.98545</v>
      </c>
      <c r="G1152" s="103">
        <v>42.405839999999998</v>
      </c>
      <c r="H1152" s="102">
        <v>6</v>
      </c>
      <c r="I1152" s="102">
        <v>36</v>
      </c>
      <c r="J1152" s="103"/>
      <c r="K1152" s="103"/>
      <c r="L1152" s="103"/>
      <c r="M1152" s="103">
        <v>6</v>
      </c>
      <c r="N1152" s="103"/>
      <c r="O1152" s="103"/>
      <c r="P1152" s="103"/>
      <c r="Q1152" s="103"/>
      <c r="R1152" s="103"/>
      <c r="S1152" s="103"/>
      <c r="T1152" s="103"/>
      <c r="U1152" s="103"/>
      <c r="V1152" s="103"/>
      <c r="W1152" s="103"/>
      <c r="X1152" s="103"/>
      <c r="Y1152" s="103"/>
      <c r="Z1152" s="103"/>
      <c r="AA1152" s="103"/>
      <c r="AB1152" s="103"/>
      <c r="AC1152" s="103"/>
      <c r="AD1152" s="103"/>
      <c r="AE1152" s="103"/>
      <c r="AF1152" s="103"/>
      <c r="AG1152" s="103">
        <v>6</v>
      </c>
      <c r="AH1152" s="103"/>
      <c r="AI1152" s="103"/>
      <c r="AJ1152" s="103"/>
      <c r="AK1152" s="103"/>
      <c r="AL1152" s="103"/>
      <c r="AM1152" s="103"/>
      <c r="AN1152" s="103"/>
      <c r="AO1152" s="103"/>
      <c r="AP1152" s="103"/>
      <c r="AQ1152" s="103"/>
      <c r="AR1152" s="103"/>
      <c r="AS1152" s="103">
        <v>6</v>
      </c>
      <c r="AT1152" s="103"/>
      <c r="AU1152" s="103"/>
      <c r="AV1152" s="103"/>
      <c r="AW1152" s="104" t="str">
        <f>HYPERLINK("http://www.openstreetmap.org/?mlat=35.9855&amp;mlon=42.4058&amp;zoom=12#map=12/35.9855/42.4058","Maplink1")</f>
        <v>Maplink1</v>
      </c>
      <c r="AX1152" s="104" t="str">
        <f>HYPERLINK("https://www.google.iq/maps/search/+35.9855,42.4058/@35.9855,42.4058,14z?hl=en","Maplink2")</f>
        <v>Maplink2</v>
      </c>
      <c r="AY1152" s="104" t="str">
        <f>HYPERLINK("http://www.bing.com/maps/?lvl=14&amp;sty=h&amp;cp=35.9855~42.4058&amp;sp=point.35.9855_42.4058","Maplink3")</f>
        <v>Maplink3</v>
      </c>
    </row>
    <row r="1153" spans="1:51" x14ac:dyDescent="0.2">
      <c r="A1153" s="102">
        <v>33741</v>
      </c>
      <c r="B1153" s="103" t="s">
        <v>35</v>
      </c>
      <c r="C1153" s="103" t="s">
        <v>101</v>
      </c>
      <c r="D1153" s="103" t="s">
        <v>2270</v>
      </c>
      <c r="E1153" s="103" t="s">
        <v>2271</v>
      </c>
      <c r="F1153" s="103">
        <v>35.659604000000002</v>
      </c>
      <c r="G1153" s="103">
        <v>42.437885000000001</v>
      </c>
      <c r="H1153" s="102">
        <v>15</v>
      </c>
      <c r="I1153" s="102">
        <v>90</v>
      </c>
      <c r="J1153" s="103"/>
      <c r="K1153" s="103"/>
      <c r="L1153" s="103"/>
      <c r="M1153" s="103">
        <v>15</v>
      </c>
      <c r="N1153" s="103"/>
      <c r="O1153" s="103"/>
      <c r="P1153" s="103"/>
      <c r="Q1153" s="103"/>
      <c r="R1153" s="103"/>
      <c r="S1153" s="103"/>
      <c r="T1153" s="103"/>
      <c r="U1153" s="103"/>
      <c r="V1153" s="103"/>
      <c r="W1153" s="103"/>
      <c r="X1153" s="103"/>
      <c r="Y1153" s="103"/>
      <c r="Z1153" s="103"/>
      <c r="AA1153" s="103"/>
      <c r="AB1153" s="103"/>
      <c r="AC1153" s="103"/>
      <c r="AD1153" s="103"/>
      <c r="AE1153" s="103"/>
      <c r="AF1153" s="103"/>
      <c r="AG1153" s="103">
        <v>15</v>
      </c>
      <c r="AH1153" s="103"/>
      <c r="AI1153" s="103"/>
      <c r="AJ1153" s="103"/>
      <c r="AK1153" s="103"/>
      <c r="AL1153" s="103"/>
      <c r="AM1153" s="103"/>
      <c r="AN1153" s="103"/>
      <c r="AO1153" s="103"/>
      <c r="AP1153" s="103"/>
      <c r="AQ1153" s="103"/>
      <c r="AR1153" s="103"/>
      <c r="AS1153" s="103">
        <v>15</v>
      </c>
      <c r="AT1153" s="103"/>
      <c r="AU1153" s="103"/>
      <c r="AV1153" s="103"/>
      <c r="AW1153" s="104" t="str">
        <f>HYPERLINK("http://www.openstreetmap.org/?mlat=35.6596&amp;mlon=42.4379&amp;zoom=12#map=12/35.6596/42.4379","Maplink1")</f>
        <v>Maplink1</v>
      </c>
      <c r="AX1153" s="104" t="str">
        <f>HYPERLINK("https://www.google.iq/maps/search/+35.6596,42.4379/@35.6596,42.4379,14z?hl=en","Maplink2")</f>
        <v>Maplink2</v>
      </c>
      <c r="AY1153" s="104" t="str">
        <f>HYPERLINK("http://www.bing.com/maps/?lvl=14&amp;sty=h&amp;cp=35.6596~42.4379&amp;sp=point.35.6596_42.4379","Maplink3")</f>
        <v>Maplink3</v>
      </c>
    </row>
    <row r="1154" spans="1:51" x14ac:dyDescent="0.2">
      <c r="A1154" s="102">
        <v>33193</v>
      </c>
      <c r="B1154" s="103" t="s">
        <v>35</v>
      </c>
      <c r="C1154" s="103" t="s">
        <v>101</v>
      </c>
      <c r="D1154" s="103" t="s">
        <v>2190</v>
      </c>
      <c r="E1154" s="103" t="s">
        <v>2191</v>
      </c>
      <c r="F1154" s="103">
        <v>35.854686999999998</v>
      </c>
      <c r="G1154" s="103">
        <v>42.894362000000001</v>
      </c>
      <c r="H1154" s="102">
        <v>27</v>
      </c>
      <c r="I1154" s="102">
        <v>162</v>
      </c>
      <c r="J1154" s="103"/>
      <c r="K1154" s="103"/>
      <c r="L1154" s="103"/>
      <c r="M1154" s="103">
        <v>27</v>
      </c>
      <c r="N1154" s="103"/>
      <c r="O1154" s="103"/>
      <c r="P1154" s="103"/>
      <c r="Q1154" s="103"/>
      <c r="R1154" s="103"/>
      <c r="S1154" s="103"/>
      <c r="T1154" s="103"/>
      <c r="U1154" s="103"/>
      <c r="V1154" s="103"/>
      <c r="W1154" s="103"/>
      <c r="X1154" s="103"/>
      <c r="Y1154" s="103"/>
      <c r="Z1154" s="103"/>
      <c r="AA1154" s="103"/>
      <c r="AB1154" s="103"/>
      <c r="AC1154" s="103"/>
      <c r="AD1154" s="103"/>
      <c r="AE1154" s="103"/>
      <c r="AF1154" s="103"/>
      <c r="AG1154" s="103">
        <v>27</v>
      </c>
      <c r="AH1154" s="103"/>
      <c r="AI1154" s="103"/>
      <c r="AJ1154" s="103"/>
      <c r="AK1154" s="103"/>
      <c r="AL1154" s="103"/>
      <c r="AM1154" s="103"/>
      <c r="AN1154" s="103"/>
      <c r="AO1154" s="103"/>
      <c r="AP1154" s="103"/>
      <c r="AQ1154" s="103"/>
      <c r="AR1154" s="103"/>
      <c r="AS1154" s="103">
        <v>27</v>
      </c>
      <c r="AT1154" s="103"/>
      <c r="AU1154" s="103"/>
      <c r="AV1154" s="103"/>
      <c r="AW1154" s="104" t="str">
        <f>HYPERLINK("http://www.openstreetmap.org/?mlat=35.8547&amp;mlon=42.8944&amp;zoom=12#map=12/35.8547/42.8944","Maplink1")</f>
        <v>Maplink1</v>
      </c>
      <c r="AX1154" s="104" t="str">
        <f>HYPERLINK("https://www.google.iq/maps/search/+35.8547,42.8944/@35.8547,42.8944,14z?hl=en","Maplink2")</f>
        <v>Maplink2</v>
      </c>
      <c r="AY1154" s="104" t="str">
        <f>HYPERLINK("http://www.bing.com/maps/?lvl=14&amp;sty=h&amp;cp=35.8547~42.8944&amp;sp=point.35.8547_42.8944","Maplink3")</f>
        <v>Maplink3</v>
      </c>
    </row>
    <row r="1155" spans="1:51" x14ac:dyDescent="0.2">
      <c r="A1155" s="102">
        <v>33978</v>
      </c>
      <c r="B1155" s="103" t="s">
        <v>35</v>
      </c>
      <c r="C1155" s="103" t="s">
        <v>101</v>
      </c>
      <c r="D1155" s="103" t="s">
        <v>2192</v>
      </c>
      <c r="E1155" s="103" t="s">
        <v>2193</v>
      </c>
      <c r="F1155" s="103">
        <v>35.83887</v>
      </c>
      <c r="G1155" s="103">
        <v>42.506410000000002</v>
      </c>
      <c r="H1155" s="102">
        <v>40</v>
      </c>
      <c r="I1155" s="102">
        <v>240</v>
      </c>
      <c r="J1155" s="103"/>
      <c r="K1155" s="103"/>
      <c r="L1155" s="103"/>
      <c r="M1155" s="103">
        <v>40</v>
      </c>
      <c r="N1155" s="103"/>
      <c r="O1155" s="103"/>
      <c r="P1155" s="103"/>
      <c r="Q1155" s="103"/>
      <c r="R1155" s="103"/>
      <c r="S1155" s="103"/>
      <c r="T1155" s="103"/>
      <c r="U1155" s="103"/>
      <c r="V1155" s="103"/>
      <c r="W1155" s="103"/>
      <c r="X1155" s="103"/>
      <c r="Y1155" s="103"/>
      <c r="Z1155" s="103"/>
      <c r="AA1155" s="103"/>
      <c r="AB1155" s="103"/>
      <c r="AC1155" s="103"/>
      <c r="AD1155" s="103"/>
      <c r="AE1155" s="103"/>
      <c r="AF1155" s="103"/>
      <c r="AG1155" s="103">
        <v>40</v>
      </c>
      <c r="AH1155" s="103"/>
      <c r="AI1155" s="103"/>
      <c r="AJ1155" s="103"/>
      <c r="AK1155" s="103"/>
      <c r="AL1155" s="103"/>
      <c r="AM1155" s="103"/>
      <c r="AN1155" s="103"/>
      <c r="AO1155" s="103"/>
      <c r="AP1155" s="103"/>
      <c r="AQ1155" s="103"/>
      <c r="AR1155" s="103"/>
      <c r="AS1155" s="103">
        <v>40</v>
      </c>
      <c r="AT1155" s="103"/>
      <c r="AU1155" s="103"/>
      <c r="AV1155" s="103"/>
      <c r="AW1155" s="104" t="str">
        <f>HYPERLINK("http://www.openstreetmap.org/?mlat=35.8389&amp;mlon=42.5064&amp;zoom=12#map=12/35.8389/42.5064","Maplink1")</f>
        <v>Maplink1</v>
      </c>
      <c r="AX1155" s="104" t="str">
        <f>HYPERLINK("https://www.google.iq/maps/search/+35.8389,42.5064/@35.8389,42.5064,14z?hl=en","Maplink2")</f>
        <v>Maplink2</v>
      </c>
      <c r="AY1155" s="104" t="str">
        <f>HYPERLINK("http://www.bing.com/maps/?lvl=14&amp;sty=h&amp;cp=35.8389~42.5064&amp;sp=point.35.8389_42.5064","Maplink3")</f>
        <v>Maplink3</v>
      </c>
    </row>
    <row r="1156" spans="1:51" x14ac:dyDescent="0.2">
      <c r="A1156" s="102">
        <v>33995</v>
      </c>
      <c r="B1156" s="103" t="s">
        <v>35</v>
      </c>
      <c r="C1156" s="103" t="s">
        <v>101</v>
      </c>
      <c r="D1156" s="103" t="s">
        <v>2194</v>
      </c>
      <c r="E1156" s="103" t="s">
        <v>2195</v>
      </c>
      <c r="F1156" s="103">
        <v>35.916150000000002</v>
      </c>
      <c r="G1156" s="103">
        <v>42.632280000000002</v>
      </c>
      <c r="H1156" s="102">
        <v>140</v>
      </c>
      <c r="I1156" s="102">
        <v>840</v>
      </c>
      <c r="J1156" s="103"/>
      <c r="K1156" s="103"/>
      <c r="L1156" s="103"/>
      <c r="M1156" s="103">
        <v>138</v>
      </c>
      <c r="N1156" s="103">
        <v>2</v>
      </c>
      <c r="O1156" s="103"/>
      <c r="P1156" s="103"/>
      <c r="Q1156" s="103"/>
      <c r="R1156" s="103"/>
      <c r="S1156" s="103"/>
      <c r="T1156" s="103"/>
      <c r="U1156" s="103"/>
      <c r="V1156" s="103"/>
      <c r="W1156" s="103"/>
      <c r="X1156" s="103"/>
      <c r="Y1156" s="103"/>
      <c r="Z1156" s="103"/>
      <c r="AA1156" s="103"/>
      <c r="AB1156" s="103"/>
      <c r="AC1156" s="103"/>
      <c r="AD1156" s="103"/>
      <c r="AE1156" s="103"/>
      <c r="AF1156" s="103"/>
      <c r="AG1156" s="103">
        <v>140</v>
      </c>
      <c r="AH1156" s="103"/>
      <c r="AI1156" s="103"/>
      <c r="AJ1156" s="103"/>
      <c r="AK1156" s="103"/>
      <c r="AL1156" s="103"/>
      <c r="AM1156" s="103"/>
      <c r="AN1156" s="103"/>
      <c r="AO1156" s="103"/>
      <c r="AP1156" s="103"/>
      <c r="AQ1156" s="103"/>
      <c r="AR1156" s="103"/>
      <c r="AS1156" s="103">
        <v>140</v>
      </c>
      <c r="AT1156" s="103"/>
      <c r="AU1156" s="103"/>
      <c r="AV1156" s="103"/>
      <c r="AW1156" s="104" t="str">
        <f>HYPERLINK("http://www.openstreetmap.org/?mlat=35.9162&amp;mlon=42.6323&amp;zoom=12#map=12/35.9162/42.6323","Maplink1")</f>
        <v>Maplink1</v>
      </c>
      <c r="AX1156" s="104" t="str">
        <f>HYPERLINK("https://www.google.iq/maps/search/+35.9162,42.6323/@35.9162,42.6323,14z?hl=en","Maplink2")</f>
        <v>Maplink2</v>
      </c>
      <c r="AY1156" s="104" t="str">
        <f>HYPERLINK("http://www.bing.com/maps/?lvl=14&amp;sty=h&amp;cp=35.9162~42.6323&amp;sp=point.35.9162_42.6323","Maplink3")</f>
        <v>Maplink3</v>
      </c>
    </row>
    <row r="1157" spans="1:51" x14ac:dyDescent="0.2">
      <c r="A1157" s="102">
        <v>33972</v>
      </c>
      <c r="B1157" s="103" t="s">
        <v>35</v>
      </c>
      <c r="C1157" s="103" t="s">
        <v>101</v>
      </c>
      <c r="D1157" s="103" t="s">
        <v>2176</v>
      </c>
      <c r="E1157" s="103" t="s">
        <v>2177</v>
      </c>
      <c r="F1157" s="103">
        <v>35.631605999999998</v>
      </c>
      <c r="G1157" s="103">
        <v>42.933771999999998</v>
      </c>
      <c r="H1157" s="102">
        <v>15</v>
      </c>
      <c r="I1157" s="102">
        <v>90</v>
      </c>
      <c r="J1157" s="103"/>
      <c r="K1157" s="103"/>
      <c r="L1157" s="103"/>
      <c r="M1157" s="103">
        <v>15</v>
      </c>
      <c r="N1157" s="103"/>
      <c r="O1157" s="103"/>
      <c r="P1157" s="103"/>
      <c r="Q1157" s="103"/>
      <c r="R1157" s="103"/>
      <c r="S1157" s="103"/>
      <c r="T1157" s="103"/>
      <c r="U1157" s="103"/>
      <c r="V1157" s="103"/>
      <c r="W1157" s="103"/>
      <c r="X1157" s="103"/>
      <c r="Y1157" s="103"/>
      <c r="Z1157" s="103"/>
      <c r="AA1157" s="103"/>
      <c r="AB1157" s="103"/>
      <c r="AC1157" s="103"/>
      <c r="AD1157" s="103"/>
      <c r="AE1157" s="103"/>
      <c r="AF1157" s="103"/>
      <c r="AG1157" s="103">
        <v>15</v>
      </c>
      <c r="AH1157" s="103"/>
      <c r="AI1157" s="103"/>
      <c r="AJ1157" s="103"/>
      <c r="AK1157" s="103"/>
      <c r="AL1157" s="103"/>
      <c r="AM1157" s="103"/>
      <c r="AN1157" s="103"/>
      <c r="AO1157" s="103"/>
      <c r="AP1157" s="103"/>
      <c r="AQ1157" s="103"/>
      <c r="AR1157" s="103"/>
      <c r="AS1157" s="103">
        <v>15</v>
      </c>
      <c r="AT1157" s="103"/>
      <c r="AU1157" s="103"/>
      <c r="AV1157" s="103"/>
      <c r="AW1157" s="104" t="str">
        <f>HYPERLINK("http://www.openstreetmap.org/?mlat=35.6316&amp;mlon=42.9338&amp;zoom=12#map=12/35.6316/42.9338","Maplink1")</f>
        <v>Maplink1</v>
      </c>
      <c r="AX1157" s="104" t="str">
        <f>HYPERLINK("https://www.google.iq/maps/search/+35.6316,42.9338/@35.6316,42.9338,14z?hl=en","Maplink2")</f>
        <v>Maplink2</v>
      </c>
      <c r="AY1157" s="104" t="str">
        <f>HYPERLINK("http://www.bing.com/maps/?lvl=14&amp;sty=h&amp;cp=35.6316~42.9338&amp;sp=point.35.6316_42.9338","Maplink3")</f>
        <v>Maplink3</v>
      </c>
    </row>
    <row r="1158" spans="1:51" x14ac:dyDescent="0.2">
      <c r="A1158" s="102">
        <v>33986</v>
      </c>
      <c r="B1158" s="103" t="s">
        <v>35</v>
      </c>
      <c r="C1158" s="103" t="s">
        <v>101</v>
      </c>
      <c r="D1158" s="103" t="s">
        <v>2178</v>
      </c>
      <c r="E1158" s="103" t="s">
        <v>2179</v>
      </c>
      <c r="F1158" s="103">
        <v>35.985334999999999</v>
      </c>
      <c r="G1158" s="103">
        <v>42.303614000000003</v>
      </c>
      <c r="H1158" s="102">
        <v>35</v>
      </c>
      <c r="I1158" s="102">
        <v>210</v>
      </c>
      <c r="J1158" s="103"/>
      <c r="K1158" s="103"/>
      <c r="L1158" s="103"/>
      <c r="M1158" s="103">
        <v>35</v>
      </c>
      <c r="N1158" s="103"/>
      <c r="O1158" s="103"/>
      <c r="P1158" s="103"/>
      <c r="Q1158" s="103"/>
      <c r="R1158" s="103"/>
      <c r="S1158" s="103"/>
      <c r="T1158" s="103"/>
      <c r="U1158" s="103"/>
      <c r="V1158" s="103"/>
      <c r="W1158" s="103"/>
      <c r="X1158" s="103"/>
      <c r="Y1158" s="103"/>
      <c r="Z1158" s="103"/>
      <c r="AA1158" s="103"/>
      <c r="AB1158" s="103"/>
      <c r="AC1158" s="103"/>
      <c r="AD1158" s="103"/>
      <c r="AE1158" s="103"/>
      <c r="AF1158" s="103"/>
      <c r="AG1158" s="103">
        <v>35</v>
      </c>
      <c r="AH1158" s="103"/>
      <c r="AI1158" s="103"/>
      <c r="AJ1158" s="103"/>
      <c r="AK1158" s="103"/>
      <c r="AL1158" s="103"/>
      <c r="AM1158" s="103"/>
      <c r="AN1158" s="103"/>
      <c r="AO1158" s="103"/>
      <c r="AP1158" s="103"/>
      <c r="AQ1158" s="103"/>
      <c r="AR1158" s="103"/>
      <c r="AS1158" s="103">
        <v>35</v>
      </c>
      <c r="AT1158" s="103"/>
      <c r="AU1158" s="103"/>
      <c r="AV1158" s="103"/>
      <c r="AW1158" s="104" t="str">
        <f>HYPERLINK("http://www.openstreetmap.org/?mlat=35.9853&amp;mlon=42.3036&amp;zoom=12#map=12/35.9853/42.3036","Maplink1")</f>
        <v>Maplink1</v>
      </c>
      <c r="AX1158" s="104" t="str">
        <f>HYPERLINK("https://www.google.iq/maps/search/+35.9853,42.3036/@35.9853,42.3036,14z?hl=en","Maplink2")</f>
        <v>Maplink2</v>
      </c>
      <c r="AY1158" s="104" t="str">
        <f>HYPERLINK("http://www.bing.com/maps/?lvl=14&amp;sty=h&amp;cp=35.9853~42.3036&amp;sp=point.35.9853_42.3036","Maplink3")</f>
        <v>Maplink3</v>
      </c>
    </row>
    <row r="1159" spans="1:51" x14ac:dyDescent="0.2">
      <c r="A1159" s="102">
        <v>33869</v>
      </c>
      <c r="B1159" s="103" t="s">
        <v>35</v>
      </c>
      <c r="C1159" s="103" t="s">
        <v>101</v>
      </c>
      <c r="D1159" s="103" t="s">
        <v>2186</v>
      </c>
      <c r="E1159" s="103" t="s">
        <v>2187</v>
      </c>
      <c r="F1159" s="103">
        <v>35.907317999999997</v>
      </c>
      <c r="G1159" s="103">
        <v>42.671280000000003</v>
      </c>
      <c r="H1159" s="102">
        <v>35</v>
      </c>
      <c r="I1159" s="102">
        <v>210</v>
      </c>
      <c r="J1159" s="103"/>
      <c r="K1159" s="103"/>
      <c r="L1159" s="103"/>
      <c r="M1159" s="103">
        <v>35</v>
      </c>
      <c r="N1159" s="103"/>
      <c r="O1159" s="103"/>
      <c r="P1159" s="103"/>
      <c r="Q1159" s="103"/>
      <c r="R1159" s="103"/>
      <c r="S1159" s="103"/>
      <c r="T1159" s="103"/>
      <c r="U1159" s="103"/>
      <c r="V1159" s="103"/>
      <c r="W1159" s="103"/>
      <c r="X1159" s="103"/>
      <c r="Y1159" s="103"/>
      <c r="Z1159" s="103"/>
      <c r="AA1159" s="103"/>
      <c r="AB1159" s="103"/>
      <c r="AC1159" s="103"/>
      <c r="AD1159" s="103"/>
      <c r="AE1159" s="103"/>
      <c r="AF1159" s="103"/>
      <c r="AG1159" s="103">
        <v>35</v>
      </c>
      <c r="AH1159" s="103"/>
      <c r="AI1159" s="103"/>
      <c r="AJ1159" s="103"/>
      <c r="AK1159" s="103"/>
      <c r="AL1159" s="103"/>
      <c r="AM1159" s="103"/>
      <c r="AN1159" s="103"/>
      <c r="AO1159" s="103"/>
      <c r="AP1159" s="103"/>
      <c r="AQ1159" s="103"/>
      <c r="AR1159" s="103"/>
      <c r="AS1159" s="103">
        <v>35</v>
      </c>
      <c r="AT1159" s="103"/>
      <c r="AU1159" s="103"/>
      <c r="AV1159" s="103"/>
      <c r="AW1159" s="104" t="str">
        <f>HYPERLINK("http://www.openstreetmap.org/?mlat=35.9073&amp;mlon=42.6713&amp;zoom=12#map=12/35.9073/42.6713","Maplink1")</f>
        <v>Maplink1</v>
      </c>
      <c r="AX1159" s="104" t="str">
        <f>HYPERLINK("https://www.google.iq/maps/search/+35.9073,42.6713/@35.9073,42.6713,14z?hl=en","Maplink2")</f>
        <v>Maplink2</v>
      </c>
      <c r="AY1159" s="104" t="str">
        <f>HYPERLINK("http://www.bing.com/maps/?lvl=14&amp;sty=h&amp;cp=35.9073~42.6713&amp;sp=point.35.9073_42.6713","Maplink3")</f>
        <v>Maplink3</v>
      </c>
    </row>
    <row r="1160" spans="1:51" x14ac:dyDescent="0.2">
      <c r="A1160" s="102">
        <v>33976</v>
      </c>
      <c r="B1160" s="103" t="s">
        <v>35</v>
      </c>
      <c r="C1160" s="103" t="s">
        <v>101</v>
      </c>
      <c r="D1160" s="103" t="s">
        <v>2188</v>
      </c>
      <c r="E1160" s="103" t="s">
        <v>2189</v>
      </c>
      <c r="F1160" s="103">
        <v>35.982201000000003</v>
      </c>
      <c r="G1160" s="103">
        <v>42.452629999999999</v>
      </c>
      <c r="H1160" s="102">
        <v>38</v>
      </c>
      <c r="I1160" s="102">
        <v>228</v>
      </c>
      <c r="J1160" s="103"/>
      <c r="K1160" s="103"/>
      <c r="L1160" s="103"/>
      <c r="M1160" s="103">
        <v>38</v>
      </c>
      <c r="N1160" s="103"/>
      <c r="O1160" s="103"/>
      <c r="P1160" s="103"/>
      <c r="Q1160" s="103"/>
      <c r="R1160" s="103"/>
      <c r="S1160" s="103"/>
      <c r="T1160" s="103"/>
      <c r="U1160" s="103"/>
      <c r="V1160" s="103"/>
      <c r="W1160" s="103"/>
      <c r="X1160" s="103"/>
      <c r="Y1160" s="103"/>
      <c r="Z1160" s="103"/>
      <c r="AA1160" s="103"/>
      <c r="AB1160" s="103"/>
      <c r="AC1160" s="103"/>
      <c r="AD1160" s="103"/>
      <c r="AE1160" s="103"/>
      <c r="AF1160" s="103"/>
      <c r="AG1160" s="103">
        <v>38</v>
      </c>
      <c r="AH1160" s="103"/>
      <c r="AI1160" s="103"/>
      <c r="AJ1160" s="103"/>
      <c r="AK1160" s="103"/>
      <c r="AL1160" s="103"/>
      <c r="AM1160" s="103"/>
      <c r="AN1160" s="103"/>
      <c r="AO1160" s="103"/>
      <c r="AP1160" s="103"/>
      <c r="AQ1160" s="103"/>
      <c r="AR1160" s="103"/>
      <c r="AS1160" s="103">
        <v>38</v>
      </c>
      <c r="AT1160" s="103"/>
      <c r="AU1160" s="103"/>
      <c r="AV1160" s="103"/>
      <c r="AW1160" s="104" t="str">
        <f>HYPERLINK("http://www.openstreetmap.org/?mlat=35.9822&amp;mlon=42.4526&amp;zoom=12#map=12/35.9822/42.4526","Maplink1")</f>
        <v>Maplink1</v>
      </c>
      <c r="AX1160" s="104" t="str">
        <f>HYPERLINK("https://www.google.iq/maps/search/+35.9822,42.4526/@35.9822,42.4526,14z?hl=en","Maplink2")</f>
        <v>Maplink2</v>
      </c>
      <c r="AY1160" s="104" t="str">
        <f>HYPERLINK("http://www.bing.com/maps/?lvl=14&amp;sty=h&amp;cp=35.9822~42.4526&amp;sp=point.35.9822_42.4526","Maplink3")</f>
        <v>Maplink3</v>
      </c>
    </row>
    <row r="1161" spans="1:51" x14ac:dyDescent="0.2">
      <c r="A1161" s="102">
        <v>33389</v>
      </c>
      <c r="B1161" s="103" t="s">
        <v>35</v>
      </c>
      <c r="C1161" s="103" t="s">
        <v>101</v>
      </c>
      <c r="D1161" s="103" t="s">
        <v>2210</v>
      </c>
      <c r="E1161" s="103" t="s">
        <v>2211</v>
      </c>
      <c r="F1161" s="103">
        <v>36.033410000000003</v>
      </c>
      <c r="G1161" s="103">
        <v>42.466987619900003</v>
      </c>
      <c r="H1161" s="102">
        <v>72</v>
      </c>
      <c r="I1161" s="102">
        <v>432</v>
      </c>
      <c r="J1161" s="103"/>
      <c r="K1161" s="103"/>
      <c r="L1161" s="103"/>
      <c r="M1161" s="103">
        <v>72</v>
      </c>
      <c r="N1161" s="103"/>
      <c r="O1161" s="103"/>
      <c r="P1161" s="103"/>
      <c r="Q1161" s="103"/>
      <c r="R1161" s="103"/>
      <c r="S1161" s="103"/>
      <c r="T1161" s="103"/>
      <c r="U1161" s="103"/>
      <c r="V1161" s="103"/>
      <c r="W1161" s="103"/>
      <c r="X1161" s="103"/>
      <c r="Y1161" s="103"/>
      <c r="Z1161" s="103"/>
      <c r="AA1161" s="103"/>
      <c r="AB1161" s="103"/>
      <c r="AC1161" s="103"/>
      <c r="AD1161" s="103"/>
      <c r="AE1161" s="103"/>
      <c r="AF1161" s="103"/>
      <c r="AG1161" s="103">
        <v>72</v>
      </c>
      <c r="AH1161" s="103"/>
      <c r="AI1161" s="103"/>
      <c r="AJ1161" s="103"/>
      <c r="AK1161" s="103"/>
      <c r="AL1161" s="103"/>
      <c r="AM1161" s="103"/>
      <c r="AN1161" s="103"/>
      <c r="AO1161" s="103"/>
      <c r="AP1161" s="103"/>
      <c r="AQ1161" s="103"/>
      <c r="AR1161" s="103"/>
      <c r="AS1161" s="103">
        <v>72</v>
      </c>
      <c r="AT1161" s="103"/>
      <c r="AU1161" s="103"/>
      <c r="AV1161" s="103"/>
      <c r="AW1161" s="104" t="str">
        <f>HYPERLINK("http://www.openstreetmap.org/?mlat=36.0334&amp;mlon=42.467&amp;zoom=12#map=12/36.0334/42.467","Maplink1")</f>
        <v>Maplink1</v>
      </c>
      <c r="AX1161" s="104" t="str">
        <f>HYPERLINK("https://www.google.iq/maps/search/+36.0334,42.467/@36.0334,42.467,14z?hl=en","Maplink2")</f>
        <v>Maplink2</v>
      </c>
      <c r="AY1161" s="104" t="str">
        <f>HYPERLINK("http://www.bing.com/maps/?lvl=14&amp;sty=h&amp;cp=36.0334~42.467&amp;sp=point.36.0334_42.467","Maplink3")</f>
        <v>Maplink3</v>
      </c>
    </row>
    <row r="1162" spans="1:51" x14ac:dyDescent="0.2">
      <c r="A1162" s="102">
        <v>23422</v>
      </c>
      <c r="B1162" s="103" t="s">
        <v>35</v>
      </c>
      <c r="C1162" s="103" t="s">
        <v>101</v>
      </c>
      <c r="D1162" s="103" t="s">
        <v>2212</v>
      </c>
      <c r="E1162" s="103" t="s">
        <v>2213</v>
      </c>
      <c r="F1162" s="103">
        <v>35.978876</v>
      </c>
      <c r="G1162" s="103">
        <v>42.615497921200003</v>
      </c>
      <c r="H1162" s="102">
        <v>168</v>
      </c>
      <c r="I1162" s="102">
        <v>1008</v>
      </c>
      <c r="J1162" s="103"/>
      <c r="K1162" s="103"/>
      <c r="L1162" s="103"/>
      <c r="M1162" s="103">
        <v>163</v>
      </c>
      <c r="N1162" s="103">
        <v>5</v>
      </c>
      <c r="O1162" s="103"/>
      <c r="P1162" s="103"/>
      <c r="Q1162" s="103"/>
      <c r="R1162" s="103"/>
      <c r="S1162" s="103"/>
      <c r="T1162" s="103"/>
      <c r="U1162" s="103"/>
      <c r="V1162" s="103"/>
      <c r="W1162" s="103"/>
      <c r="X1162" s="103"/>
      <c r="Y1162" s="103"/>
      <c r="Z1162" s="103"/>
      <c r="AA1162" s="103"/>
      <c r="AB1162" s="103"/>
      <c r="AC1162" s="103"/>
      <c r="AD1162" s="103"/>
      <c r="AE1162" s="103"/>
      <c r="AF1162" s="103"/>
      <c r="AG1162" s="103">
        <v>168</v>
      </c>
      <c r="AH1162" s="103"/>
      <c r="AI1162" s="103"/>
      <c r="AJ1162" s="103"/>
      <c r="AK1162" s="103"/>
      <c r="AL1162" s="103"/>
      <c r="AM1162" s="103"/>
      <c r="AN1162" s="103"/>
      <c r="AO1162" s="103"/>
      <c r="AP1162" s="103"/>
      <c r="AQ1162" s="103"/>
      <c r="AR1162" s="103"/>
      <c r="AS1162" s="103">
        <v>168</v>
      </c>
      <c r="AT1162" s="103"/>
      <c r="AU1162" s="103"/>
      <c r="AV1162" s="103"/>
      <c r="AW1162" s="104" t="str">
        <f>HYPERLINK("http://www.openstreetmap.org/?mlat=35.9789&amp;mlon=42.6155&amp;zoom=12#map=12/35.9789/42.6155","Maplink1")</f>
        <v>Maplink1</v>
      </c>
      <c r="AX1162" s="104" t="str">
        <f>HYPERLINK("https://www.google.iq/maps/search/+35.9789,42.6155/@35.9789,42.6155,14z?hl=en","Maplink2")</f>
        <v>Maplink2</v>
      </c>
      <c r="AY1162" s="104" t="str">
        <f>HYPERLINK("http://www.bing.com/maps/?lvl=14&amp;sty=h&amp;cp=35.9789~42.6155&amp;sp=point.35.9789_42.6155","Maplink3")</f>
        <v>Maplink3</v>
      </c>
    </row>
    <row r="1163" spans="1:51" x14ac:dyDescent="0.2">
      <c r="A1163" s="102">
        <v>33969</v>
      </c>
      <c r="B1163" s="103" t="s">
        <v>35</v>
      </c>
      <c r="C1163" s="103" t="s">
        <v>101</v>
      </c>
      <c r="D1163" s="103" t="s">
        <v>2214</v>
      </c>
      <c r="E1163" s="103" t="s">
        <v>2215</v>
      </c>
      <c r="F1163" s="103">
        <v>35.669963000000003</v>
      </c>
      <c r="G1163" s="103">
        <v>42.868032999999997</v>
      </c>
      <c r="H1163" s="102">
        <v>30</v>
      </c>
      <c r="I1163" s="102">
        <v>180</v>
      </c>
      <c r="J1163" s="103"/>
      <c r="K1163" s="103"/>
      <c r="L1163" s="103"/>
      <c r="M1163" s="103">
        <v>30</v>
      </c>
      <c r="N1163" s="103"/>
      <c r="O1163" s="103"/>
      <c r="P1163" s="103"/>
      <c r="Q1163" s="103"/>
      <c r="R1163" s="103"/>
      <c r="S1163" s="103"/>
      <c r="T1163" s="103"/>
      <c r="U1163" s="103"/>
      <c r="V1163" s="103"/>
      <c r="W1163" s="103"/>
      <c r="X1163" s="103"/>
      <c r="Y1163" s="103"/>
      <c r="Z1163" s="103"/>
      <c r="AA1163" s="103"/>
      <c r="AB1163" s="103"/>
      <c r="AC1163" s="103"/>
      <c r="AD1163" s="103"/>
      <c r="AE1163" s="103"/>
      <c r="AF1163" s="103"/>
      <c r="AG1163" s="103">
        <v>30</v>
      </c>
      <c r="AH1163" s="103"/>
      <c r="AI1163" s="103"/>
      <c r="AJ1163" s="103"/>
      <c r="AK1163" s="103"/>
      <c r="AL1163" s="103"/>
      <c r="AM1163" s="103"/>
      <c r="AN1163" s="103"/>
      <c r="AO1163" s="103"/>
      <c r="AP1163" s="103"/>
      <c r="AQ1163" s="103"/>
      <c r="AR1163" s="103"/>
      <c r="AS1163" s="103">
        <v>30</v>
      </c>
      <c r="AT1163" s="103"/>
      <c r="AU1163" s="103"/>
      <c r="AV1163" s="103"/>
      <c r="AW1163" s="104" t="str">
        <f>HYPERLINK("http://www.openstreetmap.org/?mlat=35.67&amp;mlon=42.868&amp;zoom=12#map=12/35.67/42.868","Maplink1")</f>
        <v>Maplink1</v>
      </c>
      <c r="AX1163" s="104" t="str">
        <f>HYPERLINK("https://www.google.iq/maps/search/+35.67,42.868/@35.67,42.868,14z?hl=en","Maplink2")</f>
        <v>Maplink2</v>
      </c>
      <c r="AY1163" s="104" t="str">
        <f>HYPERLINK("http://www.bing.com/maps/?lvl=14&amp;sty=h&amp;cp=35.67~42.868&amp;sp=point.35.67_42.868","Maplink3")</f>
        <v>Maplink3</v>
      </c>
    </row>
    <row r="1164" spans="1:51" x14ac:dyDescent="0.2">
      <c r="A1164" s="102">
        <v>33866</v>
      </c>
      <c r="B1164" s="103" t="s">
        <v>35</v>
      </c>
      <c r="C1164" s="103" t="s">
        <v>101</v>
      </c>
      <c r="D1164" s="103" t="s">
        <v>2150</v>
      </c>
      <c r="E1164" s="103" t="s">
        <v>2151</v>
      </c>
      <c r="F1164" s="103">
        <v>35.770359999999997</v>
      </c>
      <c r="G1164" s="103">
        <v>42.947049999999997</v>
      </c>
      <c r="H1164" s="102">
        <v>25</v>
      </c>
      <c r="I1164" s="102">
        <v>150</v>
      </c>
      <c r="J1164" s="103"/>
      <c r="K1164" s="103"/>
      <c r="L1164" s="103"/>
      <c r="M1164" s="103">
        <v>25</v>
      </c>
      <c r="N1164" s="103"/>
      <c r="O1164" s="103"/>
      <c r="P1164" s="103"/>
      <c r="Q1164" s="103"/>
      <c r="R1164" s="103"/>
      <c r="S1164" s="103"/>
      <c r="T1164" s="103"/>
      <c r="U1164" s="103"/>
      <c r="V1164" s="103"/>
      <c r="W1164" s="103"/>
      <c r="X1164" s="103"/>
      <c r="Y1164" s="103"/>
      <c r="Z1164" s="103"/>
      <c r="AA1164" s="103"/>
      <c r="AB1164" s="103"/>
      <c r="AC1164" s="103"/>
      <c r="AD1164" s="103"/>
      <c r="AE1164" s="103"/>
      <c r="AF1164" s="103"/>
      <c r="AG1164" s="103">
        <v>25</v>
      </c>
      <c r="AH1164" s="103"/>
      <c r="AI1164" s="103"/>
      <c r="AJ1164" s="103"/>
      <c r="AK1164" s="103"/>
      <c r="AL1164" s="103"/>
      <c r="AM1164" s="103"/>
      <c r="AN1164" s="103"/>
      <c r="AO1164" s="103"/>
      <c r="AP1164" s="103"/>
      <c r="AQ1164" s="103"/>
      <c r="AR1164" s="103">
        <v>25</v>
      </c>
      <c r="AS1164" s="103"/>
      <c r="AT1164" s="103"/>
      <c r="AU1164" s="103"/>
      <c r="AV1164" s="103"/>
      <c r="AW1164" s="104" t="str">
        <f>HYPERLINK("http://www.openstreetmap.org/?mlat=35.7704&amp;mlon=42.947&amp;zoom=12#map=12/35.7704/42.947","Maplink1")</f>
        <v>Maplink1</v>
      </c>
      <c r="AX1164" s="104" t="str">
        <f>HYPERLINK("https://www.google.iq/maps/search/+35.7704,42.947/@35.7704,42.947,14z?hl=en","Maplink2")</f>
        <v>Maplink2</v>
      </c>
      <c r="AY1164" s="104" t="str">
        <f>HYPERLINK("http://www.bing.com/maps/?lvl=14&amp;sty=h&amp;cp=35.7704~42.947&amp;sp=point.35.7704_42.947","Maplink3")</f>
        <v>Maplink3</v>
      </c>
    </row>
    <row r="1165" spans="1:51" x14ac:dyDescent="0.2">
      <c r="A1165" s="102">
        <v>33206</v>
      </c>
      <c r="B1165" s="103" t="s">
        <v>35</v>
      </c>
      <c r="C1165" s="103" t="s">
        <v>101</v>
      </c>
      <c r="D1165" s="103" t="s">
        <v>2152</v>
      </c>
      <c r="E1165" s="103" t="s">
        <v>2153</v>
      </c>
      <c r="F1165" s="103">
        <v>36.001669</v>
      </c>
      <c r="G1165" s="103">
        <v>42.661982999999999</v>
      </c>
      <c r="H1165" s="102">
        <v>20</v>
      </c>
      <c r="I1165" s="102">
        <v>120</v>
      </c>
      <c r="J1165" s="103"/>
      <c r="K1165" s="103"/>
      <c r="L1165" s="103"/>
      <c r="M1165" s="103">
        <v>20</v>
      </c>
      <c r="N1165" s="103"/>
      <c r="O1165" s="103"/>
      <c r="P1165" s="103"/>
      <c r="Q1165" s="103"/>
      <c r="R1165" s="103"/>
      <c r="S1165" s="103"/>
      <c r="T1165" s="103"/>
      <c r="U1165" s="103"/>
      <c r="V1165" s="103"/>
      <c r="W1165" s="103"/>
      <c r="X1165" s="103"/>
      <c r="Y1165" s="103"/>
      <c r="Z1165" s="103"/>
      <c r="AA1165" s="103"/>
      <c r="AB1165" s="103"/>
      <c r="AC1165" s="103"/>
      <c r="AD1165" s="103"/>
      <c r="AE1165" s="103"/>
      <c r="AF1165" s="103"/>
      <c r="AG1165" s="103">
        <v>20</v>
      </c>
      <c r="AH1165" s="103"/>
      <c r="AI1165" s="103"/>
      <c r="AJ1165" s="103"/>
      <c r="AK1165" s="103"/>
      <c r="AL1165" s="103"/>
      <c r="AM1165" s="103"/>
      <c r="AN1165" s="103"/>
      <c r="AO1165" s="103"/>
      <c r="AP1165" s="103"/>
      <c r="AQ1165" s="103"/>
      <c r="AR1165" s="103"/>
      <c r="AS1165" s="103">
        <v>20</v>
      </c>
      <c r="AT1165" s="103"/>
      <c r="AU1165" s="103"/>
      <c r="AV1165" s="103"/>
      <c r="AW1165" s="104" t="str">
        <f>HYPERLINK("http://www.openstreetmap.org/?mlat=36.0017&amp;mlon=42.662&amp;zoom=12#map=12/36.0017/42.662","Maplink1")</f>
        <v>Maplink1</v>
      </c>
      <c r="AX1165" s="104" t="str">
        <f>HYPERLINK("https://www.google.iq/maps/search/+36.0017,42.662/@36.0017,42.662,14z?hl=en","Maplink2")</f>
        <v>Maplink2</v>
      </c>
      <c r="AY1165" s="104" t="str">
        <f>HYPERLINK("http://www.bing.com/maps/?lvl=14&amp;sty=h&amp;cp=36.0017~42.662&amp;sp=point.36.0017_42.662","Maplink3")</f>
        <v>Maplink3</v>
      </c>
    </row>
    <row r="1166" spans="1:51" x14ac:dyDescent="0.2">
      <c r="A1166" s="102">
        <v>33233</v>
      </c>
      <c r="B1166" s="103" t="s">
        <v>35</v>
      </c>
      <c r="C1166" s="103" t="s">
        <v>101</v>
      </c>
      <c r="D1166" s="103" t="s">
        <v>2216</v>
      </c>
      <c r="E1166" s="103" t="s">
        <v>2217</v>
      </c>
      <c r="F1166" s="103">
        <v>35.891464999999997</v>
      </c>
      <c r="G1166" s="103">
        <v>42.756672999999999</v>
      </c>
      <c r="H1166" s="102">
        <v>7</v>
      </c>
      <c r="I1166" s="102">
        <v>42</v>
      </c>
      <c r="J1166" s="103"/>
      <c r="K1166" s="103"/>
      <c r="L1166" s="103"/>
      <c r="M1166" s="103">
        <v>7</v>
      </c>
      <c r="N1166" s="103"/>
      <c r="O1166" s="103"/>
      <c r="P1166" s="103"/>
      <c r="Q1166" s="103"/>
      <c r="R1166" s="103"/>
      <c r="S1166" s="103"/>
      <c r="T1166" s="103"/>
      <c r="U1166" s="103"/>
      <c r="V1166" s="103"/>
      <c r="W1166" s="103"/>
      <c r="X1166" s="103"/>
      <c r="Y1166" s="103"/>
      <c r="Z1166" s="103"/>
      <c r="AA1166" s="103"/>
      <c r="AB1166" s="103"/>
      <c r="AC1166" s="103"/>
      <c r="AD1166" s="103"/>
      <c r="AE1166" s="103"/>
      <c r="AF1166" s="103"/>
      <c r="AG1166" s="103">
        <v>7</v>
      </c>
      <c r="AH1166" s="103"/>
      <c r="AI1166" s="103"/>
      <c r="AJ1166" s="103"/>
      <c r="AK1166" s="103"/>
      <c r="AL1166" s="103"/>
      <c r="AM1166" s="103"/>
      <c r="AN1166" s="103"/>
      <c r="AO1166" s="103"/>
      <c r="AP1166" s="103"/>
      <c r="AQ1166" s="103"/>
      <c r="AR1166" s="103"/>
      <c r="AS1166" s="103">
        <v>7</v>
      </c>
      <c r="AT1166" s="103"/>
      <c r="AU1166" s="103"/>
      <c r="AV1166" s="103"/>
      <c r="AW1166" s="104" t="str">
        <f>HYPERLINK("http://www.openstreetmap.org/?mlat=35.8915&amp;mlon=42.7567&amp;zoom=12#map=12/35.8915/42.7567","Maplink1")</f>
        <v>Maplink1</v>
      </c>
      <c r="AX1166" s="104" t="str">
        <f>HYPERLINK("https://www.google.iq/maps/search/+35.8915,42.7567/@35.8915,42.7567,14z?hl=en","Maplink2")</f>
        <v>Maplink2</v>
      </c>
      <c r="AY1166" s="104" t="str">
        <f>HYPERLINK("http://www.bing.com/maps/?lvl=14&amp;sty=h&amp;cp=35.8915~42.7567&amp;sp=point.35.8915_42.7567","Maplink3")</f>
        <v>Maplink3</v>
      </c>
    </row>
    <row r="1167" spans="1:51" x14ac:dyDescent="0.2">
      <c r="A1167" s="102">
        <v>17126</v>
      </c>
      <c r="B1167" s="103" t="s">
        <v>35</v>
      </c>
      <c r="C1167" s="103" t="s">
        <v>101</v>
      </c>
      <c r="D1167" s="103" t="s">
        <v>2218</v>
      </c>
      <c r="E1167" s="103" t="s">
        <v>2219</v>
      </c>
      <c r="F1167" s="103">
        <v>35.577225135600003</v>
      </c>
      <c r="G1167" s="103">
        <v>42.731852087199997</v>
      </c>
      <c r="H1167" s="102">
        <v>920</v>
      </c>
      <c r="I1167" s="102">
        <v>5520</v>
      </c>
      <c r="J1167" s="103">
        <v>45</v>
      </c>
      <c r="K1167" s="103"/>
      <c r="L1167" s="103"/>
      <c r="M1167" s="103">
        <v>835</v>
      </c>
      <c r="N1167" s="103">
        <v>40</v>
      </c>
      <c r="O1167" s="103"/>
      <c r="P1167" s="103"/>
      <c r="Q1167" s="103"/>
      <c r="R1167" s="103"/>
      <c r="S1167" s="103"/>
      <c r="T1167" s="103"/>
      <c r="U1167" s="103"/>
      <c r="V1167" s="103"/>
      <c r="W1167" s="103"/>
      <c r="X1167" s="103"/>
      <c r="Y1167" s="103"/>
      <c r="Z1167" s="103"/>
      <c r="AA1167" s="103">
        <v>40</v>
      </c>
      <c r="AB1167" s="103"/>
      <c r="AC1167" s="103"/>
      <c r="AD1167" s="103"/>
      <c r="AE1167" s="103"/>
      <c r="AF1167" s="103"/>
      <c r="AG1167" s="103">
        <v>860</v>
      </c>
      <c r="AH1167" s="103"/>
      <c r="AI1167" s="103">
        <v>20</v>
      </c>
      <c r="AJ1167" s="103"/>
      <c r="AK1167" s="103"/>
      <c r="AL1167" s="103"/>
      <c r="AM1167" s="103"/>
      <c r="AN1167" s="103"/>
      <c r="AO1167" s="103"/>
      <c r="AP1167" s="103"/>
      <c r="AQ1167" s="103"/>
      <c r="AR1167" s="103"/>
      <c r="AS1167" s="103"/>
      <c r="AT1167" s="103">
        <v>920</v>
      </c>
      <c r="AU1167" s="103"/>
      <c r="AV1167" s="103"/>
      <c r="AW1167" s="104" t="str">
        <f>HYPERLINK("http://www.openstreetmap.org/?mlat=35.5772&amp;mlon=42.7319&amp;zoom=12#map=12/35.5772/42.7319","Maplink1")</f>
        <v>Maplink1</v>
      </c>
      <c r="AX1167" s="104" t="str">
        <f>HYPERLINK("https://www.google.iq/maps/search/+35.5772,42.7319/@35.5772,42.7319,14z?hl=en","Maplink2")</f>
        <v>Maplink2</v>
      </c>
      <c r="AY1167" s="104" t="str">
        <f>HYPERLINK("http://www.bing.com/maps/?lvl=14&amp;sty=h&amp;cp=35.5772~42.7319&amp;sp=point.35.5772_42.7319","Maplink3")</f>
        <v>Maplink3</v>
      </c>
    </row>
    <row r="1168" spans="1:51" x14ac:dyDescent="0.2">
      <c r="A1168" s="102">
        <v>33165</v>
      </c>
      <c r="B1168" s="103" t="s">
        <v>35</v>
      </c>
      <c r="C1168" s="103" t="s">
        <v>101</v>
      </c>
      <c r="D1168" s="103" t="s">
        <v>2160</v>
      </c>
      <c r="E1168" s="103" t="s">
        <v>2161</v>
      </c>
      <c r="F1168" s="103">
        <v>35.660388492999999</v>
      </c>
      <c r="G1168" s="103">
        <v>42.979572662800003</v>
      </c>
      <c r="H1168" s="102">
        <v>23</v>
      </c>
      <c r="I1168" s="102">
        <v>138</v>
      </c>
      <c r="J1168" s="103"/>
      <c r="K1168" s="103"/>
      <c r="L1168" s="103"/>
      <c r="M1168" s="103">
        <v>23</v>
      </c>
      <c r="N1168" s="103"/>
      <c r="O1168" s="103"/>
      <c r="P1168" s="103"/>
      <c r="Q1168" s="103"/>
      <c r="R1168" s="103"/>
      <c r="S1168" s="103"/>
      <c r="T1168" s="103"/>
      <c r="U1168" s="103"/>
      <c r="V1168" s="103"/>
      <c r="W1168" s="103"/>
      <c r="X1168" s="103"/>
      <c r="Y1168" s="103"/>
      <c r="Z1168" s="103"/>
      <c r="AA1168" s="103"/>
      <c r="AB1168" s="103"/>
      <c r="AC1168" s="103"/>
      <c r="AD1168" s="103"/>
      <c r="AE1168" s="103"/>
      <c r="AF1168" s="103"/>
      <c r="AG1168" s="103">
        <v>7</v>
      </c>
      <c r="AH1168" s="103"/>
      <c r="AI1168" s="103">
        <v>16</v>
      </c>
      <c r="AJ1168" s="103"/>
      <c r="AK1168" s="103"/>
      <c r="AL1168" s="103"/>
      <c r="AM1168" s="103"/>
      <c r="AN1168" s="103"/>
      <c r="AO1168" s="103"/>
      <c r="AP1168" s="103"/>
      <c r="AQ1168" s="103"/>
      <c r="AR1168" s="103">
        <v>23</v>
      </c>
      <c r="AS1168" s="103"/>
      <c r="AT1168" s="103"/>
      <c r="AU1168" s="103"/>
      <c r="AV1168" s="103"/>
      <c r="AW1168" s="104" t="str">
        <f>HYPERLINK("http://www.openstreetmap.org/?mlat=35.6604&amp;mlon=42.9796&amp;zoom=12#map=12/35.6604/42.9796","Maplink1")</f>
        <v>Maplink1</v>
      </c>
      <c r="AX1168" s="104" t="str">
        <f>HYPERLINK("https://www.google.iq/maps/search/+35.6604,42.9796/@35.6604,42.9796,14z?hl=en","Maplink2")</f>
        <v>Maplink2</v>
      </c>
      <c r="AY1168" s="104" t="str">
        <f>HYPERLINK("http://www.bing.com/maps/?lvl=14&amp;sty=h&amp;cp=35.6604~42.9796&amp;sp=point.35.6604_42.9796","Maplink3")</f>
        <v>Maplink3</v>
      </c>
    </row>
    <row r="1169" spans="1:51" x14ac:dyDescent="0.2">
      <c r="A1169" s="102">
        <v>33390</v>
      </c>
      <c r="B1169" s="103" t="s">
        <v>35</v>
      </c>
      <c r="C1169" s="103" t="s">
        <v>101</v>
      </c>
      <c r="D1169" s="103" t="s">
        <v>2162</v>
      </c>
      <c r="E1169" s="103" t="s">
        <v>2163</v>
      </c>
      <c r="F1169" s="103">
        <v>36.006447000000001</v>
      </c>
      <c r="G1169" s="103">
        <v>42.4562901591</v>
      </c>
      <c r="H1169" s="102">
        <v>160</v>
      </c>
      <c r="I1169" s="102">
        <v>960</v>
      </c>
      <c r="J1169" s="103"/>
      <c r="K1169" s="103"/>
      <c r="L1169" s="103"/>
      <c r="M1169" s="103">
        <v>155</v>
      </c>
      <c r="N1169" s="103">
        <v>5</v>
      </c>
      <c r="O1169" s="103"/>
      <c r="P1169" s="103"/>
      <c r="Q1169" s="103"/>
      <c r="R1169" s="103"/>
      <c r="S1169" s="103"/>
      <c r="T1169" s="103"/>
      <c r="U1169" s="103"/>
      <c r="V1169" s="103"/>
      <c r="W1169" s="103"/>
      <c r="X1169" s="103"/>
      <c r="Y1169" s="103"/>
      <c r="Z1169" s="103"/>
      <c r="AA1169" s="103"/>
      <c r="AB1169" s="103"/>
      <c r="AC1169" s="103"/>
      <c r="AD1169" s="103"/>
      <c r="AE1169" s="103"/>
      <c r="AF1169" s="103"/>
      <c r="AG1169" s="103">
        <v>160</v>
      </c>
      <c r="AH1169" s="103"/>
      <c r="AI1169" s="103"/>
      <c r="AJ1169" s="103"/>
      <c r="AK1169" s="103"/>
      <c r="AL1169" s="103"/>
      <c r="AM1169" s="103"/>
      <c r="AN1169" s="103"/>
      <c r="AO1169" s="103"/>
      <c r="AP1169" s="103"/>
      <c r="AQ1169" s="103"/>
      <c r="AR1169" s="103"/>
      <c r="AS1169" s="103">
        <v>160</v>
      </c>
      <c r="AT1169" s="103"/>
      <c r="AU1169" s="103"/>
      <c r="AV1169" s="103"/>
      <c r="AW1169" s="104" t="str">
        <f>HYPERLINK("http://www.openstreetmap.org/?mlat=36.0064&amp;mlon=42.4563&amp;zoom=12#map=12/36.0064/42.4563","Maplink1")</f>
        <v>Maplink1</v>
      </c>
      <c r="AX1169" s="104" t="str">
        <f>HYPERLINK("https://www.google.iq/maps/search/+36.0064,42.4563/@36.0064,42.4563,14z?hl=en","Maplink2")</f>
        <v>Maplink2</v>
      </c>
      <c r="AY1169" s="104" t="str">
        <f>HYPERLINK("http://www.bing.com/maps/?lvl=14&amp;sty=h&amp;cp=36.0064~42.4563&amp;sp=point.36.0064_42.4563","Maplink3")</f>
        <v>Maplink3</v>
      </c>
    </row>
    <row r="1170" spans="1:51" x14ac:dyDescent="0.2">
      <c r="A1170" s="102">
        <v>32084</v>
      </c>
      <c r="B1170" s="103" t="s">
        <v>35</v>
      </c>
      <c r="C1170" s="103" t="s">
        <v>101</v>
      </c>
      <c r="D1170" s="103" t="s">
        <v>2200</v>
      </c>
      <c r="E1170" s="103" t="s">
        <v>2201</v>
      </c>
      <c r="F1170" s="103">
        <v>35.746122</v>
      </c>
      <c r="G1170" s="103">
        <v>42.124175999999999</v>
      </c>
      <c r="H1170" s="102">
        <v>120</v>
      </c>
      <c r="I1170" s="102">
        <v>720</v>
      </c>
      <c r="J1170" s="103"/>
      <c r="K1170" s="103"/>
      <c r="L1170" s="103"/>
      <c r="M1170" s="103">
        <v>117</v>
      </c>
      <c r="N1170" s="103">
        <v>3</v>
      </c>
      <c r="O1170" s="103"/>
      <c r="P1170" s="103"/>
      <c r="Q1170" s="103"/>
      <c r="R1170" s="103"/>
      <c r="S1170" s="103"/>
      <c r="T1170" s="103"/>
      <c r="U1170" s="103"/>
      <c r="V1170" s="103"/>
      <c r="W1170" s="103"/>
      <c r="X1170" s="103"/>
      <c r="Y1170" s="103"/>
      <c r="Z1170" s="103"/>
      <c r="AA1170" s="103"/>
      <c r="AB1170" s="103"/>
      <c r="AC1170" s="103"/>
      <c r="AD1170" s="103"/>
      <c r="AE1170" s="103"/>
      <c r="AF1170" s="103"/>
      <c r="AG1170" s="103">
        <v>120</v>
      </c>
      <c r="AH1170" s="103"/>
      <c r="AI1170" s="103"/>
      <c r="AJ1170" s="103"/>
      <c r="AK1170" s="103"/>
      <c r="AL1170" s="103"/>
      <c r="AM1170" s="103"/>
      <c r="AN1170" s="103"/>
      <c r="AO1170" s="103"/>
      <c r="AP1170" s="103"/>
      <c r="AQ1170" s="103"/>
      <c r="AR1170" s="103"/>
      <c r="AS1170" s="103">
        <v>120</v>
      </c>
      <c r="AT1170" s="103"/>
      <c r="AU1170" s="103"/>
      <c r="AV1170" s="103"/>
      <c r="AW1170" s="104" t="str">
        <f>HYPERLINK("http://www.openstreetmap.org/?mlat=35.7461&amp;mlon=42.1242&amp;zoom=12#map=12/35.7461/42.1242","Maplink1")</f>
        <v>Maplink1</v>
      </c>
      <c r="AX1170" s="104" t="str">
        <f>HYPERLINK("https://www.google.iq/maps/search/+35.7461,42.1242/@35.7461,42.1242,14z?hl=en","Maplink2")</f>
        <v>Maplink2</v>
      </c>
      <c r="AY1170" s="104" t="str">
        <f>HYPERLINK("http://www.bing.com/maps/?lvl=14&amp;sty=h&amp;cp=35.7461~42.1242&amp;sp=point.35.7461_42.1242","Maplink3")</f>
        <v>Maplink3</v>
      </c>
    </row>
    <row r="1171" spans="1:51" x14ac:dyDescent="0.2">
      <c r="A1171" s="102">
        <v>33536</v>
      </c>
      <c r="B1171" s="103" t="s">
        <v>35</v>
      </c>
      <c r="C1171" s="103" t="s">
        <v>101</v>
      </c>
      <c r="D1171" s="103" t="s">
        <v>2202</v>
      </c>
      <c r="E1171" s="103" t="s">
        <v>2203</v>
      </c>
      <c r="F1171" s="103">
        <v>35.837600000000002</v>
      </c>
      <c r="G1171" s="103">
        <v>42.218690000000002</v>
      </c>
      <c r="H1171" s="102">
        <v>25</v>
      </c>
      <c r="I1171" s="102">
        <v>150</v>
      </c>
      <c r="J1171" s="103"/>
      <c r="K1171" s="103"/>
      <c r="L1171" s="103"/>
      <c r="M1171" s="103">
        <v>25</v>
      </c>
      <c r="N1171" s="103"/>
      <c r="O1171" s="103"/>
      <c r="P1171" s="103"/>
      <c r="Q1171" s="103"/>
      <c r="R1171" s="103"/>
      <c r="S1171" s="103"/>
      <c r="T1171" s="103"/>
      <c r="U1171" s="103"/>
      <c r="V1171" s="103"/>
      <c r="W1171" s="103"/>
      <c r="X1171" s="103"/>
      <c r="Y1171" s="103"/>
      <c r="Z1171" s="103"/>
      <c r="AA1171" s="103"/>
      <c r="AB1171" s="103"/>
      <c r="AC1171" s="103"/>
      <c r="AD1171" s="103"/>
      <c r="AE1171" s="103"/>
      <c r="AF1171" s="103"/>
      <c r="AG1171" s="103">
        <v>25</v>
      </c>
      <c r="AH1171" s="103"/>
      <c r="AI1171" s="103"/>
      <c r="AJ1171" s="103"/>
      <c r="AK1171" s="103"/>
      <c r="AL1171" s="103"/>
      <c r="AM1171" s="103"/>
      <c r="AN1171" s="103"/>
      <c r="AO1171" s="103"/>
      <c r="AP1171" s="103"/>
      <c r="AQ1171" s="103"/>
      <c r="AR1171" s="103"/>
      <c r="AS1171" s="103">
        <v>25</v>
      </c>
      <c r="AT1171" s="103"/>
      <c r="AU1171" s="103"/>
      <c r="AV1171" s="103"/>
      <c r="AW1171" s="104" t="str">
        <f>HYPERLINK("http://www.openstreetmap.org/?mlat=35.8376&amp;mlon=42.2187&amp;zoom=12#map=12/35.8376/42.2187","Maplink1")</f>
        <v>Maplink1</v>
      </c>
      <c r="AX1171" s="104" t="str">
        <f>HYPERLINK("https://www.google.iq/maps/search/+35.8376,42.2187/@35.8376,42.2187,14z?hl=en","Maplink2")</f>
        <v>Maplink2</v>
      </c>
      <c r="AY1171" s="104" t="str">
        <f>HYPERLINK("http://www.bing.com/maps/?lvl=14&amp;sty=h&amp;cp=35.8376~42.2187&amp;sp=point.35.8376_42.2187","Maplink3")</f>
        <v>Maplink3</v>
      </c>
    </row>
    <row r="1172" spans="1:51" x14ac:dyDescent="0.2">
      <c r="A1172" s="102">
        <v>33861</v>
      </c>
      <c r="B1172" s="103" t="s">
        <v>35</v>
      </c>
      <c r="C1172" s="103" t="s">
        <v>101</v>
      </c>
      <c r="D1172" s="103" t="s">
        <v>2204</v>
      </c>
      <c r="E1172" s="103" t="s">
        <v>2205</v>
      </c>
      <c r="F1172" s="103">
        <v>36.162066000000003</v>
      </c>
      <c r="G1172" s="103">
        <v>42.323912999999997</v>
      </c>
      <c r="H1172" s="102">
        <v>200</v>
      </c>
      <c r="I1172" s="102">
        <v>1200</v>
      </c>
      <c r="J1172" s="103"/>
      <c r="K1172" s="103"/>
      <c r="L1172" s="103"/>
      <c r="M1172" s="103">
        <v>200</v>
      </c>
      <c r="N1172" s="103"/>
      <c r="O1172" s="103"/>
      <c r="P1172" s="103"/>
      <c r="Q1172" s="103"/>
      <c r="R1172" s="103"/>
      <c r="S1172" s="103"/>
      <c r="T1172" s="103"/>
      <c r="U1172" s="103"/>
      <c r="V1172" s="103"/>
      <c r="W1172" s="103"/>
      <c r="X1172" s="103"/>
      <c r="Y1172" s="103"/>
      <c r="Z1172" s="103"/>
      <c r="AA1172" s="103"/>
      <c r="AB1172" s="103"/>
      <c r="AC1172" s="103"/>
      <c r="AD1172" s="103"/>
      <c r="AE1172" s="103"/>
      <c r="AF1172" s="103"/>
      <c r="AG1172" s="103">
        <v>200</v>
      </c>
      <c r="AH1172" s="103"/>
      <c r="AI1172" s="103"/>
      <c r="AJ1172" s="103"/>
      <c r="AK1172" s="103"/>
      <c r="AL1172" s="103"/>
      <c r="AM1172" s="103"/>
      <c r="AN1172" s="103"/>
      <c r="AO1172" s="103"/>
      <c r="AP1172" s="103"/>
      <c r="AQ1172" s="103"/>
      <c r="AR1172" s="103"/>
      <c r="AS1172" s="103">
        <v>200</v>
      </c>
      <c r="AT1172" s="103"/>
      <c r="AU1172" s="103"/>
      <c r="AV1172" s="103"/>
      <c r="AW1172" s="104" t="str">
        <f>HYPERLINK("http://www.openstreetmap.org/?mlat=36.1621&amp;mlon=42.3239&amp;zoom=12#map=12/36.1621/42.3239","Maplink1")</f>
        <v>Maplink1</v>
      </c>
      <c r="AX1172" s="104" t="str">
        <f>HYPERLINK("https://www.google.iq/maps/search/+36.1621,42.3239/@36.1621,42.3239,14z?hl=en","Maplink2")</f>
        <v>Maplink2</v>
      </c>
      <c r="AY1172" s="104" t="str">
        <f>HYPERLINK("http://www.bing.com/maps/?lvl=14&amp;sty=h&amp;cp=36.1621~42.3239&amp;sp=point.36.1621_42.3239","Maplink3")</f>
        <v>Maplink3</v>
      </c>
    </row>
    <row r="1173" spans="1:51" x14ac:dyDescent="0.2">
      <c r="A1173" s="102">
        <v>33984</v>
      </c>
      <c r="B1173" s="103" t="s">
        <v>35</v>
      </c>
      <c r="C1173" s="103" t="s">
        <v>101</v>
      </c>
      <c r="D1173" s="103" t="s">
        <v>2206</v>
      </c>
      <c r="E1173" s="103" t="s">
        <v>2207</v>
      </c>
      <c r="F1173" s="103">
        <v>35.935676999999998</v>
      </c>
      <c r="G1173" s="103">
        <v>42.288964</v>
      </c>
      <c r="H1173" s="102">
        <v>10</v>
      </c>
      <c r="I1173" s="102">
        <v>60</v>
      </c>
      <c r="J1173" s="103"/>
      <c r="K1173" s="103"/>
      <c r="L1173" s="103"/>
      <c r="M1173" s="103">
        <v>9</v>
      </c>
      <c r="N1173" s="103">
        <v>1</v>
      </c>
      <c r="O1173" s="103"/>
      <c r="P1173" s="103"/>
      <c r="Q1173" s="103"/>
      <c r="R1173" s="103"/>
      <c r="S1173" s="103"/>
      <c r="T1173" s="103"/>
      <c r="U1173" s="103"/>
      <c r="V1173" s="103"/>
      <c r="W1173" s="103"/>
      <c r="X1173" s="103"/>
      <c r="Y1173" s="103"/>
      <c r="Z1173" s="103"/>
      <c r="AA1173" s="103"/>
      <c r="AB1173" s="103"/>
      <c r="AC1173" s="103"/>
      <c r="AD1173" s="103"/>
      <c r="AE1173" s="103"/>
      <c r="AF1173" s="103"/>
      <c r="AG1173" s="103">
        <v>10</v>
      </c>
      <c r="AH1173" s="103"/>
      <c r="AI1173" s="103"/>
      <c r="AJ1173" s="103"/>
      <c r="AK1173" s="103"/>
      <c r="AL1173" s="103"/>
      <c r="AM1173" s="103"/>
      <c r="AN1173" s="103"/>
      <c r="AO1173" s="103"/>
      <c r="AP1173" s="103"/>
      <c r="AQ1173" s="103"/>
      <c r="AR1173" s="103"/>
      <c r="AS1173" s="103">
        <v>10</v>
      </c>
      <c r="AT1173" s="103"/>
      <c r="AU1173" s="103"/>
      <c r="AV1173" s="103"/>
      <c r="AW1173" s="104" t="str">
        <f>HYPERLINK("http://www.openstreetmap.org/?mlat=35.9357&amp;mlon=42.289&amp;zoom=12#map=12/35.9357/42.289","Maplink1")</f>
        <v>Maplink1</v>
      </c>
      <c r="AX1173" s="104" t="str">
        <f>HYPERLINK("https://www.google.iq/maps/search/+35.9357,42.289/@35.9357,42.289,14z?hl=en","Maplink2")</f>
        <v>Maplink2</v>
      </c>
      <c r="AY1173" s="104" t="str">
        <f>HYPERLINK("http://www.bing.com/maps/?lvl=14&amp;sty=h&amp;cp=35.9357~42.289&amp;sp=point.35.9357_42.289","Maplink3")</f>
        <v>Maplink3</v>
      </c>
    </row>
    <row r="1174" spans="1:51" x14ac:dyDescent="0.2">
      <c r="A1174" s="102">
        <v>33989</v>
      </c>
      <c r="B1174" s="103" t="s">
        <v>35</v>
      </c>
      <c r="C1174" s="103" t="s">
        <v>101</v>
      </c>
      <c r="D1174" s="103" t="s">
        <v>2208</v>
      </c>
      <c r="E1174" s="103" t="s">
        <v>2209</v>
      </c>
      <c r="F1174" s="103">
        <v>35.864040000000003</v>
      </c>
      <c r="G1174" s="103">
        <v>42.547870000000003</v>
      </c>
      <c r="H1174" s="102">
        <v>14</v>
      </c>
      <c r="I1174" s="102">
        <v>84</v>
      </c>
      <c r="J1174" s="103"/>
      <c r="K1174" s="103"/>
      <c r="L1174" s="103"/>
      <c r="M1174" s="103">
        <v>14</v>
      </c>
      <c r="N1174" s="103"/>
      <c r="O1174" s="103"/>
      <c r="P1174" s="103"/>
      <c r="Q1174" s="103"/>
      <c r="R1174" s="103"/>
      <c r="S1174" s="103"/>
      <c r="T1174" s="103"/>
      <c r="U1174" s="103"/>
      <c r="V1174" s="103"/>
      <c r="W1174" s="103"/>
      <c r="X1174" s="103"/>
      <c r="Y1174" s="103"/>
      <c r="Z1174" s="103"/>
      <c r="AA1174" s="103"/>
      <c r="AB1174" s="103"/>
      <c r="AC1174" s="103"/>
      <c r="AD1174" s="103"/>
      <c r="AE1174" s="103"/>
      <c r="AF1174" s="103"/>
      <c r="AG1174" s="103">
        <v>14</v>
      </c>
      <c r="AH1174" s="103"/>
      <c r="AI1174" s="103"/>
      <c r="AJ1174" s="103"/>
      <c r="AK1174" s="103"/>
      <c r="AL1174" s="103"/>
      <c r="AM1174" s="103"/>
      <c r="AN1174" s="103"/>
      <c r="AO1174" s="103"/>
      <c r="AP1174" s="103"/>
      <c r="AQ1174" s="103"/>
      <c r="AR1174" s="103"/>
      <c r="AS1174" s="103">
        <v>14</v>
      </c>
      <c r="AT1174" s="103"/>
      <c r="AU1174" s="103"/>
      <c r="AV1174" s="103"/>
      <c r="AW1174" s="104" t="str">
        <f>HYPERLINK("http://www.openstreetmap.org/?mlat=35.864&amp;mlon=42.5479&amp;zoom=12#map=12/35.864/42.5479","Maplink1")</f>
        <v>Maplink1</v>
      </c>
      <c r="AX1174" s="104" t="str">
        <f>HYPERLINK("https://www.google.iq/maps/search/+35.864,42.5479/@35.864,42.5479,14z?hl=en","Maplink2")</f>
        <v>Maplink2</v>
      </c>
      <c r="AY1174" s="104" t="str">
        <f>HYPERLINK("http://www.bing.com/maps/?lvl=14&amp;sty=h&amp;cp=35.864~42.5479&amp;sp=point.35.864_42.5479","Maplink3")</f>
        <v>Maplink3</v>
      </c>
    </row>
    <row r="1175" spans="1:51" x14ac:dyDescent="0.2">
      <c r="A1175" s="102">
        <v>18014</v>
      </c>
      <c r="B1175" s="103" t="s">
        <v>35</v>
      </c>
      <c r="C1175" s="103" t="s">
        <v>101</v>
      </c>
      <c r="D1175" s="103" t="s">
        <v>2220</v>
      </c>
      <c r="E1175" s="103" t="s">
        <v>2221</v>
      </c>
      <c r="F1175" s="103">
        <v>36.025871000000002</v>
      </c>
      <c r="G1175" s="103">
        <v>42.562490220999997</v>
      </c>
      <c r="H1175" s="102">
        <v>131</v>
      </c>
      <c r="I1175" s="102">
        <v>786</v>
      </c>
      <c r="J1175" s="103"/>
      <c r="K1175" s="103"/>
      <c r="L1175" s="103"/>
      <c r="M1175" s="103">
        <v>128</v>
      </c>
      <c r="N1175" s="103">
        <v>3</v>
      </c>
      <c r="O1175" s="103"/>
      <c r="P1175" s="103"/>
      <c r="Q1175" s="103"/>
      <c r="R1175" s="103"/>
      <c r="S1175" s="103"/>
      <c r="T1175" s="103"/>
      <c r="U1175" s="103"/>
      <c r="V1175" s="103"/>
      <c r="W1175" s="103"/>
      <c r="X1175" s="103"/>
      <c r="Y1175" s="103"/>
      <c r="Z1175" s="103"/>
      <c r="AA1175" s="103"/>
      <c r="AB1175" s="103"/>
      <c r="AC1175" s="103"/>
      <c r="AD1175" s="103"/>
      <c r="AE1175" s="103"/>
      <c r="AF1175" s="103"/>
      <c r="AG1175" s="103">
        <v>131</v>
      </c>
      <c r="AH1175" s="103"/>
      <c r="AI1175" s="103"/>
      <c r="AJ1175" s="103"/>
      <c r="AK1175" s="103"/>
      <c r="AL1175" s="103"/>
      <c r="AM1175" s="103"/>
      <c r="AN1175" s="103"/>
      <c r="AO1175" s="103"/>
      <c r="AP1175" s="103"/>
      <c r="AQ1175" s="103"/>
      <c r="AR1175" s="103"/>
      <c r="AS1175" s="103">
        <v>131</v>
      </c>
      <c r="AT1175" s="103"/>
      <c r="AU1175" s="103"/>
      <c r="AV1175" s="103"/>
      <c r="AW1175" s="104" t="str">
        <f>HYPERLINK("http://www.openstreetmap.org/?mlat=36.0259&amp;mlon=42.5625&amp;zoom=12#map=12/36.0259/42.5625","Maplink1")</f>
        <v>Maplink1</v>
      </c>
      <c r="AX1175" s="104" t="str">
        <f>HYPERLINK("https://www.google.iq/maps/search/+36.0259,42.5625/@36.0259,42.5625,14z?hl=en","Maplink2")</f>
        <v>Maplink2</v>
      </c>
      <c r="AY1175" s="104" t="str">
        <f>HYPERLINK("http://www.bing.com/maps/?lvl=14&amp;sty=h&amp;cp=36.0259~42.5625&amp;sp=point.36.0259_42.5625","Maplink3")</f>
        <v>Maplink3</v>
      </c>
    </row>
    <row r="1176" spans="1:51" x14ac:dyDescent="0.2">
      <c r="A1176" s="102">
        <v>33391</v>
      </c>
      <c r="B1176" s="103" t="s">
        <v>35</v>
      </c>
      <c r="C1176" s="103" t="s">
        <v>101</v>
      </c>
      <c r="D1176" s="103" t="s">
        <v>2222</v>
      </c>
      <c r="E1176" s="103" t="s">
        <v>2223</v>
      </c>
      <c r="F1176" s="103">
        <v>36.008612999999997</v>
      </c>
      <c r="G1176" s="103">
        <v>42.408456999999999</v>
      </c>
      <c r="H1176" s="102">
        <v>8</v>
      </c>
      <c r="I1176" s="102">
        <v>48</v>
      </c>
      <c r="J1176" s="103"/>
      <c r="K1176" s="103"/>
      <c r="L1176" s="103"/>
      <c r="M1176" s="103">
        <v>8</v>
      </c>
      <c r="N1176" s="103"/>
      <c r="O1176" s="103"/>
      <c r="P1176" s="103"/>
      <c r="Q1176" s="103"/>
      <c r="R1176" s="103"/>
      <c r="S1176" s="103"/>
      <c r="T1176" s="103"/>
      <c r="U1176" s="103"/>
      <c r="V1176" s="103"/>
      <c r="W1176" s="103"/>
      <c r="X1176" s="103"/>
      <c r="Y1176" s="103"/>
      <c r="Z1176" s="103"/>
      <c r="AA1176" s="103"/>
      <c r="AB1176" s="103"/>
      <c r="AC1176" s="103"/>
      <c r="AD1176" s="103"/>
      <c r="AE1176" s="103"/>
      <c r="AF1176" s="103"/>
      <c r="AG1176" s="103">
        <v>8</v>
      </c>
      <c r="AH1176" s="103"/>
      <c r="AI1176" s="103"/>
      <c r="AJ1176" s="103"/>
      <c r="AK1176" s="103"/>
      <c r="AL1176" s="103"/>
      <c r="AM1176" s="103"/>
      <c r="AN1176" s="103"/>
      <c r="AO1176" s="103"/>
      <c r="AP1176" s="103"/>
      <c r="AQ1176" s="103"/>
      <c r="AR1176" s="103"/>
      <c r="AS1176" s="103">
        <v>8</v>
      </c>
      <c r="AT1176" s="103"/>
      <c r="AU1176" s="103"/>
      <c r="AV1176" s="103"/>
      <c r="AW1176" s="104" t="str">
        <f>HYPERLINK("http://www.openstreetmap.org/?mlat=36.0086&amp;mlon=42.4085&amp;zoom=12#map=12/36.0086/42.4085","Maplink1")</f>
        <v>Maplink1</v>
      </c>
      <c r="AX1176" s="104" t="str">
        <f>HYPERLINK("https://www.google.iq/maps/search/+36.0086,42.4085/@36.0086,42.4085,14z?hl=en","Maplink2")</f>
        <v>Maplink2</v>
      </c>
      <c r="AY1176" s="104" t="str">
        <f>HYPERLINK("http://www.bing.com/maps/?lvl=14&amp;sty=h&amp;cp=36.0086~42.4085&amp;sp=point.36.0086_42.4085","Maplink3")</f>
        <v>Maplink3</v>
      </c>
    </row>
    <row r="1177" spans="1:51" x14ac:dyDescent="0.2">
      <c r="A1177" s="102">
        <v>33864</v>
      </c>
      <c r="B1177" s="103" t="s">
        <v>35</v>
      </c>
      <c r="C1177" s="103" t="s">
        <v>101</v>
      </c>
      <c r="D1177" s="103" t="s">
        <v>2224</v>
      </c>
      <c r="E1177" s="103" t="s">
        <v>2225</v>
      </c>
      <c r="F1177" s="103">
        <v>35.934323999999997</v>
      </c>
      <c r="G1177" s="103">
        <v>42.884028000000001</v>
      </c>
      <c r="H1177" s="102">
        <v>51</v>
      </c>
      <c r="I1177" s="102">
        <v>306</v>
      </c>
      <c r="J1177" s="103"/>
      <c r="K1177" s="103"/>
      <c r="L1177" s="103"/>
      <c r="M1177" s="103">
        <v>51</v>
      </c>
      <c r="N1177" s="103"/>
      <c r="O1177" s="103"/>
      <c r="P1177" s="103"/>
      <c r="Q1177" s="103"/>
      <c r="R1177" s="103"/>
      <c r="S1177" s="103"/>
      <c r="T1177" s="103"/>
      <c r="U1177" s="103"/>
      <c r="V1177" s="103"/>
      <c r="W1177" s="103"/>
      <c r="X1177" s="103"/>
      <c r="Y1177" s="103"/>
      <c r="Z1177" s="103"/>
      <c r="AA1177" s="103"/>
      <c r="AB1177" s="103"/>
      <c r="AC1177" s="103"/>
      <c r="AD1177" s="103"/>
      <c r="AE1177" s="103"/>
      <c r="AF1177" s="103"/>
      <c r="AG1177" s="103">
        <v>51</v>
      </c>
      <c r="AH1177" s="103"/>
      <c r="AI1177" s="103"/>
      <c r="AJ1177" s="103"/>
      <c r="AK1177" s="103"/>
      <c r="AL1177" s="103"/>
      <c r="AM1177" s="103"/>
      <c r="AN1177" s="103"/>
      <c r="AO1177" s="103"/>
      <c r="AP1177" s="103"/>
      <c r="AQ1177" s="103"/>
      <c r="AR1177" s="103">
        <v>51</v>
      </c>
      <c r="AS1177" s="103"/>
      <c r="AT1177" s="103"/>
      <c r="AU1177" s="103"/>
      <c r="AV1177" s="103"/>
      <c r="AW1177" s="104" t="str">
        <f>HYPERLINK("http://www.openstreetmap.org/?mlat=35.9343&amp;mlon=42.884&amp;zoom=12#map=12/35.9343/42.884","Maplink1")</f>
        <v>Maplink1</v>
      </c>
      <c r="AX1177" s="104" t="str">
        <f>HYPERLINK("https://www.google.iq/maps/search/+35.9343,42.884/@35.9343,42.884,14z?hl=en","Maplink2")</f>
        <v>Maplink2</v>
      </c>
      <c r="AY1177" s="104" t="str">
        <f>HYPERLINK("http://www.bing.com/maps/?lvl=14&amp;sty=h&amp;cp=35.9343~42.884&amp;sp=point.35.9343_42.884","Maplink3")</f>
        <v>Maplink3</v>
      </c>
    </row>
    <row r="1178" spans="1:51" x14ac:dyDescent="0.2">
      <c r="A1178" s="102">
        <v>33117</v>
      </c>
      <c r="B1178" s="103" t="s">
        <v>35</v>
      </c>
      <c r="C1178" s="103" t="s">
        <v>101</v>
      </c>
      <c r="D1178" s="103" t="s">
        <v>2196</v>
      </c>
      <c r="E1178" s="103" t="s">
        <v>2197</v>
      </c>
      <c r="F1178" s="103">
        <v>35.763613999999997</v>
      </c>
      <c r="G1178" s="103">
        <v>42.970831132699999</v>
      </c>
      <c r="H1178" s="102">
        <v>72</v>
      </c>
      <c r="I1178" s="102">
        <v>432</v>
      </c>
      <c r="J1178" s="103"/>
      <c r="K1178" s="103"/>
      <c r="L1178" s="103"/>
      <c r="M1178" s="103">
        <v>70</v>
      </c>
      <c r="N1178" s="103">
        <v>2</v>
      </c>
      <c r="O1178" s="103"/>
      <c r="P1178" s="103"/>
      <c r="Q1178" s="103"/>
      <c r="R1178" s="103"/>
      <c r="S1178" s="103"/>
      <c r="T1178" s="103"/>
      <c r="U1178" s="103"/>
      <c r="V1178" s="103"/>
      <c r="W1178" s="103"/>
      <c r="X1178" s="103"/>
      <c r="Y1178" s="103"/>
      <c r="Z1178" s="103"/>
      <c r="AA1178" s="103"/>
      <c r="AB1178" s="103"/>
      <c r="AC1178" s="103"/>
      <c r="AD1178" s="103"/>
      <c r="AE1178" s="103"/>
      <c r="AF1178" s="103"/>
      <c r="AG1178" s="103"/>
      <c r="AH1178" s="103"/>
      <c r="AI1178" s="103">
        <v>72</v>
      </c>
      <c r="AJ1178" s="103"/>
      <c r="AK1178" s="103"/>
      <c r="AL1178" s="103"/>
      <c r="AM1178" s="103"/>
      <c r="AN1178" s="103"/>
      <c r="AO1178" s="103"/>
      <c r="AP1178" s="103"/>
      <c r="AQ1178" s="103"/>
      <c r="AR1178" s="103">
        <v>72</v>
      </c>
      <c r="AS1178" s="103"/>
      <c r="AT1178" s="103"/>
      <c r="AU1178" s="103"/>
      <c r="AV1178" s="103"/>
      <c r="AW1178" s="104" t="str">
        <f>HYPERLINK("http://www.openstreetmap.org/?mlat=35.7636&amp;mlon=42.9708&amp;zoom=12#map=12/35.7636/42.9708","Maplink1")</f>
        <v>Maplink1</v>
      </c>
      <c r="AX1178" s="104" t="str">
        <f>HYPERLINK("https://www.google.iq/maps/search/+35.7636,42.9708/@35.7636,42.9708,14z?hl=en","Maplink2")</f>
        <v>Maplink2</v>
      </c>
      <c r="AY1178" s="104" t="str">
        <f>HYPERLINK("http://www.bing.com/maps/?lvl=14&amp;sty=h&amp;cp=35.7636~42.9708&amp;sp=point.35.7636_42.9708","Maplink3")</f>
        <v>Maplink3</v>
      </c>
    </row>
    <row r="1179" spans="1:51" x14ac:dyDescent="0.2">
      <c r="A1179" s="102">
        <v>33994</v>
      </c>
      <c r="B1179" s="103" t="s">
        <v>35</v>
      </c>
      <c r="C1179" s="103" t="s">
        <v>101</v>
      </c>
      <c r="D1179" s="103" t="s">
        <v>2198</v>
      </c>
      <c r="E1179" s="103" t="s">
        <v>2199</v>
      </c>
      <c r="F1179" s="103">
        <v>35.819029999999998</v>
      </c>
      <c r="G1179" s="103">
        <v>42.4129</v>
      </c>
      <c r="H1179" s="102">
        <v>35</v>
      </c>
      <c r="I1179" s="102">
        <v>210</v>
      </c>
      <c r="J1179" s="103"/>
      <c r="K1179" s="103"/>
      <c r="L1179" s="103"/>
      <c r="M1179" s="103">
        <v>35</v>
      </c>
      <c r="N1179" s="103"/>
      <c r="O1179" s="103"/>
      <c r="P1179" s="103"/>
      <c r="Q1179" s="103"/>
      <c r="R1179" s="103"/>
      <c r="S1179" s="103"/>
      <c r="T1179" s="103"/>
      <c r="U1179" s="103"/>
      <c r="V1179" s="103"/>
      <c r="W1179" s="103"/>
      <c r="X1179" s="103"/>
      <c r="Y1179" s="103"/>
      <c r="Z1179" s="103"/>
      <c r="AA1179" s="103"/>
      <c r="AB1179" s="103"/>
      <c r="AC1179" s="103"/>
      <c r="AD1179" s="103"/>
      <c r="AE1179" s="103"/>
      <c r="AF1179" s="103"/>
      <c r="AG1179" s="103">
        <v>35</v>
      </c>
      <c r="AH1179" s="103"/>
      <c r="AI1179" s="103"/>
      <c r="AJ1179" s="103"/>
      <c r="AK1179" s="103"/>
      <c r="AL1179" s="103"/>
      <c r="AM1179" s="103"/>
      <c r="AN1179" s="103"/>
      <c r="AO1179" s="103"/>
      <c r="AP1179" s="103"/>
      <c r="AQ1179" s="103"/>
      <c r="AR1179" s="103"/>
      <c r="AS1179" s="103">
        <v>35</v>
      </c>
      <c r="AT1179" s="103"/>
      <c r="AU1179" s="103"/>
      <c r="AV1179" s="103"/>
      <c r="AW1179" s="104" t="str">
        <f>HYPERLINK("http://www.openstreetmap.org/?mlat=35.819&amp;mlon=42.4129&amp;zoom=12#map=12/35.819/42.4129","Maplink1")</f>
        <v>Maplink1</v>
      </c>
      <c r="AX1179" s="104" t="str">
        <f>HYPERLINK("https://www.google.iq/maps/search/+35.819,42.4129/@35.819,42.4129,14z?hl=en","Maplink2")</f>
        <v>Maplink2</v>
      </c>
      <c r="AY1179" s="104" t="str">
        <f>HYPERLINK("http://www.bing.com/maps/?lvl=14&amp;sty=h&amp;cp=35.819~42.4129&amp;sp=point.35.819_42.4129","Maplink3")</f>
        <v>Maplink3</v>
      </c>
    </row>
    <row r="1180" spans="1:51" x14ac:dyDescent="0.2">
      <c r="A1180" s="102">
        <v>33173</v>
      </c>
      <c r="B1180" s="103" t="s">
        <v>35</v>
      </c>
      <c r="C1180" s="103" t="s">
        <v>101</v>
      </c>
      <c r="D1180" s="103" t="s">
        <v>2288</v>
      </c>
      <c r="E1180" s="103" t="s">
        <v>2289</v>
      </c>
      <c r="F1180" s="103">
        <v>35.654992</v>
      </c>
      <c r="G1180" s="103">
        <v>42.971196761400002</v>
      </c>
      <c r="H1180" s="102">
        <v>5</v>
      </c>
      <c r="I1180" s="102">
        <v>30</v>
      </c>
      <c r="J1180" s="103"/>
      <c r="K1180" s="103"/>
      <c r="L1180" s="103"/>
      <c r="M1180" s="103">
        <v>5</v>
      </c>
      <c r="N1180" s="103"/>
      <c r="O1180" s="103"/>
      <c r="P1180" s="103"/>
      <c r="Q1180" s="103"/>
      <c r="R1180" s="103"/>
      <c r="S1180" s="103"/>
      <c r="T1180" s="103"/>
      <c r="U1180" s="103"/>
      <c r="V1180" s="103"/>
      <c r="W1180" s="103"/>
      <c r="X1180" s="103"/>
      <c r="Y1180" s="103"/>
      <c r="Z1180" s="103"/>
      <c r="AA1180" s="103"/>
      <c r="AB1180" s="103"/>
      <c r="AC1180" s="103"/>
      <c r="AD1180" s="103"/>
      <c r="AE1180" s="103"/>
      <c r="AF1180" s="103"/>
      <c r="AG1180" s="103">
        <v>4</v>
      </c>
      <c r="AH1180" s="103"/>
      <c r="AI1180" s="103">
        <v>1</v>
      </c>
      <c r="AJ1180" s="103"/>
      <c r="AK1180" s="103"/>
      <c r="AL1180" s="103"/>
      <c r="AM1180" s="103"/>
      <c r="AN1180" s="103"/>
      <c r="AO1180" s="103"/>
      <c r="AP1180" s="103"/>
      <c r="AQ1180" s="103"/>
      <c r="AR1180" s="103">
        <v>5</v>
      </c>
      <c r="AS1180" s="103"/>
      <c r="AT1180" s="103"/>
      <c r="AU1180" s="103"/>
      <c r="AV1180" s="103"/>
      <c r="AW1180" s="104" t="str">
        <f>HYPERLINK("http://www.openstreetmap.org/?mlat=35.655&amp;mlon=42.9712&amp;zoom=12#map=12/35.655/42.9712","Maplink1")</f>
        <v>Maplink1</v>
      </c>
      <c r="AX1180" s="104" t="str">
        <f>HYPERLINK("https://www.google.iq/maps/search/+35.655,42.9712/@35.655,42.9712,14z?hl=en","Maplink2")</f>
        <v>Maplink2</v>
      </c>
      <c r="AY1180" s="104" t="str">
        <f>HYPERLINK("http://www.bing.com/maps/?lvl=14&amp;sty=h&amp;cp=35.655~42.9712&amp;sp=point.35.655_42.9712","Maplink3")</f>
        <v>Maplink3</v>
      </c>
    </row>
    <row r="1181" spans="1:51" x14ac:dyDescent="0.2">
      <c r="A1181" s="102">
        <v>23416</v>
      </c>
      <c r="B1181" s="103" t="s">
        <v>35</v>
      </c>
      <c r="C1181" s="103" t="s">
        <v>101</v>
      </c>
      <c r="D1181" s="103" t="s">
        <v>2290</v>
      </c>
      <c r="E1181" s="103" t="s">
        <v>1570</v>
      </c>
      <c r="F1181" s="103">
        <v>36.0072820201</v>
      </c>
      <c r="G1181" s="103">
        <v>42.604857957100002</v>
      </c>
      <c r="H1181" s="102">
        <v>40</v>
      </c>
      <c r="I1181" s="102">
        <v>240</v>
      </c>
      <c r="J1181" s="103"/>
      <c r="K1181" s="103"/>
      <c r="L1181" s="103"/>
      <c r="M1181" s="103">
        <v>35</v>
      </c>
      <c r="N1181" s="103">
        <v>5</v>
      </c>
      <c r="O1181" s="103"/>
      <c r="P1181" s="103"/>
      <c r="Q1181" s="103"/>
      <c r="R1181" s="103"/>
      <c r="S1181" s="103"/>
      <c r="T1181" s="103"/>
      <c r="U1181" s="103"/>
      <c r="V1181" s="103"/>
      <c r="W1181" s="103"/>
      <c r="X1181" s="103"/>
      <c r="Y1181" s="103"/>
      <c r="Z1181" s="103"/>
      <c r="AA1181" s="103"/>
      <c r="AB1181" s="103"/>
      <c r="AC1181" s="103"/>
      <c r="AD1181" s="103"/>
      <c r="AE1181" s="103"/>
      <c r="AF1181" s="103"/>
      <c r="AG1181" s="103">
        <v>40</v>
      </c>
      <c r="AH1181" s="103"/>
      <c r="AI1181" s="103"/>
      <c r="AJ1181" s="103"/>
      <c r="AK1181" s="103"/>
      <c r="AL1181" s="103"/>
      <c r="AM1181" s="103"/>
      <c r="AN1181" s="103"/>
      <c r="AO1181" s="103"/>
      <c r="AP1181" s="103"/>
      <c r="AQ1181" s="103"/>
      <c r="AR1181" s="103"/>
      <c r="AS1181" s="103">
        <v>40</v>
      </c>
      <c r="AT1181" s="103"/>
      <c r="AU1181" s="103"/>
      <c r="AV1181" s="103"/>
      <c r="AW1181" s="104" t="str">
        <f>HYPERLINK("http://www.openstreetmap.org/?mlat=36.0073&amp;mlon=42.6049&amp;zoom=12#map=12/36.0073/42.6049","Maplink1")</f>
        <v>Maplink1</v>
      </c>
      <c r="AX1181" s="104" t="str">
        <f>HYPERLINK("https://www.google.iq/maps/search/+36.0073,42.6049/@36.0073,42.6049,14z?hl=en","Maplink2")</f>
        <v>Maplink2</v>
      </c>
      <c r="AY1181" s="104" t="str">
        <f>HYPERLINK("http://www.bing.com/maps/?lvl=14&amp;sty=h&amp;cp=36.0073~42.6049&amp;sp=point.36.0073_42.6049","Maplink3")</f>
        <v>Maplink3</v>
      </c>
    </row>
    <row r="1182" spans="1:51" x14ac:dyDescent="0.2">
      <c r="A1182" s="102">
        <v>18346</v>
      </c>
      <c r="B1182" s="103" t="s">
        <v>35</v>
      </c>
      <c r="C1182" s="103" t="s">
        <v>102</v>
      </c>
      <c r="D1182" s="103" t="s">
        <v>2714</v>
      </c>
      <c r="E1182" s="103" t="s">
        <v>2715</v>
      </c>
      <c r="F1182" s="103">
        <v>36.308820134199998</v>
      </c>
      <c r="G1182" s="103">
        <v>43.108543280600003</v>
      </c>
      <c r="H1182" s="102">
        <v>2945</v>
      </c>
      <c r="I1182" s="102">
        <v>17670</v>
      </c>
      <c r="J1182" s="103"/>
      <c r="K1182" s="103"/>
      <c r="L1182" s="103"/>
      <c r="M1182" s="103">
        <v>2923</v>
      </c>
      <c r="N1182" s="103">
        <v>22</v>
      </c>
      <c r="O1182" s="103"/>
      <c r="P1182" s="103"/>
      <c r="Q1182" s="103"/>
      <c r="R1182" s="103"/>
      <c r="S1182" s="103"/>
      <c r="T1182" s="103"/>
      <c r="U1182" s="103"/>
      <c r="V1182" s="103"/>
      <c r="W1182" s="103"/>
      <c r="X1182" s="103"/>
      <c r="Y1182" s="103"/>
      <c r="Z1182" s="103"/>
      <c r="AA1182" s="103"/>
      <c r="AB1182" s="103"/>
      <c r="AC1182" s="103"/>
      <c r="AD1182" s="103"/>
      <c r="AE1182" s="103"/>
      <c r="AF1182" s="103"/>
      <c r="AG1182" s="103">
        <v>2945</v>
      </c>
      <c r="AH1182" s="103"/>
      <c r="AI1182" s="103"/>
      <c r="AJ1182" s="103"/>
      <c r="AK1182" s="103"/>
      <c r="AL1182" s="103"/>
      <c r="AM1182" s="103"/>
      <c r="AN1182" s="103"/>
      <c r="AO1182" s="103"/>
      <c r="AP1182" s="103"/>
      <c r="AQ1182" s="103"/>
      <c r="AR1182" s="103"/>
      <c r="AS1182" s="103">
        <v>2945</v>
      </c>
      <c r="AT1182" s="103"/>
      <c r="AU1182" s="103"/>
      <c r="AV1182" s="103"/>
      <c r="AW1182" s="104" t="str">
        <f>HYPERLINK("http://www.openstreetmap.org/?mlat=36.3088&amp;mlon=43.1085&amp;zoom=12#map=12/36.3088/43.1085","Maplink1")</f>
        <v>Maplink1</v>
      </c>
      <c r="AX1182" s="104" t="str">
        <f>HYPERLINK("https://www.google.iq/maps/search/+36.3088,43.1085/@36.3088,43.1085,14z?hl=en","Maplink2")</f>
        <v>Maplink2</v>
      </c>
      <c r="AY1182" s="104" t="str">
        <f>HYPERLINK("http://www.bing.com/maps/?lvl=14&amp;sty=h&amp;cp=36.3088~43.1085&amp;sp=point.36.3088_43.1085","Maplink3")</f>
        <v>Maplink3</v>
      </c>
    </row>
    <row r="1183" spans="1:51" x14ac:dyDescent="0.2">
      <c r="A1183" s="102">
        <v>22542</v>
      </c>
      <c r="B1183" s="103" t="s">
        <v>35</v>
      </c>
      <c r="C1183" s="103" t="s">
        <v>102</v>
      </c>
      <c r="D1183" s="103" t="s">
        <v>2716</v>
      </c>
      <c r="E1183" s="103" t="s">
        <v>2717</v>
      </c>
      <c r="F1183" s="103">
        <v>36.415771763800002</v>
      </c>
      <c r="G1183" s="103">
        <v>43.401062265900002</v>
      </c>
      <c r="H1183" s="102">
        <v>43</v>
      </c>
      <c r="I1183" s="102">
        <v>258</v>
      </c>
      <c r="J1183" s="103"/>
      <c r="K1183" s="103"/>
      <c r="L1183" s="103"/>
      <c r="M1183" s="103">
        <v>43</v>
      </c>
      <c r="N1183" s="103"/>
      <c r="O1183" s="103"/>
      <c r="P1183" s="103"/>
      <c r="Q1183" s="103"/>
      <c r="R1183" s="103"/>
      <c r="S1183" s="103"/>
      <c r="T1183" s="103"/>
      <c r="U1183" s="103"/>
      <c r="V1183" s="103"/>
      <c r="W1183" s="103"/>
      <c r="X1183" s="103"/>
      <c r="Y1183" s="103"/>
      <c r="Z1183" s="103"/>
      <c r="AA1183" s="103">
        <v>5</v>
      </c>
      <c r="AB1183" s="103"/>
      <c r="AC1183" s="103">
        <v>16</v>
      </c>
      <c r="AD1183" s="103"/>
      <c r="AE1183" s="103"/>
      <c r="AF1183" s="103"/>
      <c r="AG1183" s="103">
        <v>22</v>
      </c>
      <c r="AH1183" s="103"/>
      <c r="AI1183" s="103"/>
      <c r="AJ1183" s="103"/>
      <c r="AK1183" s="103"/>
      <c r="AL1183" s="103"/>
      <c r="AM1183" s="103"/>
      <c r="AN1183" s="103"/>
      <c r="AO1183" s="103">
        <v>43</v>
      </c>
      <c r="AP1183" s="103"/>
      <c r="AQ1183" s="103"/>
      <c r="AR1183" s="103"/>
      <c r="AS1183" s="103"/>
      <c r="AT1183" s="103"/>
      <c r="AU1183" s="103"/>
      <c r="AV1183" s="103"/>
      <c r="AW1183" s="104" t="str">
        <f>HYPERLINK("http://www.openstreetmap.org/?mlat=36.4158&amp;mlon=43.4011&amp;zoom=12#map=12/36.4158/43.4011","Maplink1")</f>
        <v>Maplink1</v>
      </c>
      <c r="AX1183" s="104" t="str">
        <f>HYPERLINK("https://www.google.iq/maps/search/+36.4158,43.4011/@36.4158,43.4011,14z?hl=en","Maplink2")</f>
        <v>Maplink2</v>
      </c>
      <c r="AY1183" s="104" t="str">
        <f>HYPERLINK("http://www.bing.com/maps/?lvl=14&amp;sty=h&amp;cp=36.4158~43.4011&amp;sp=point.36.4158_43.4011","Maplink3")</f>
        <v>Maplink3</v>
      </c>
    </row>
    <row r="1184" spans="1:51" x14ac:dyDescent="0.2">
      <c r="A1184" s="102">
        <v>18376</v>
      </c>
      <c r="B1184" s="103" t="s">
        <v>35</v>
      </c>
      <c r="C1184" s="103" t="s">
        <v>102</v>
      </c>
      <c r="D1184" s="103" t="s">
        <v>2718</v>
      </c>
      <c r="E1184" s="103" t="s">
        <v>2719</v>
      </c>
      <c r="F1184" s="103">
        <v>36.358913579800003</v>
      </c>
      <c r="G1184" s="103">
        <v>43.253155303900002</v>
      </c>
      <c r="H1184" s="102">
        <v>1575</v>
      </c>
      <c r="I1184" s="102">
        <v>9450</v>
      </c>
      <c r="J1184" s="103"/>
      <c r="K1184" s="103"/>
      <c r="L1184" s="103"/>
      <c r="M1184" s="103">
        <v>1575</v>
      </c>
      <c r="N1184" s="103"/>
      <c r="O1184" s="103"/>
      <c r="P1184" s="103"/>
      <c r="Q1184" s="103"/>
      <c r="R1184" s="103"/>
      <c r="S1184" s="103"/>
      <c r="T1184" s="103"/>
      <c r="U1184" s="103"/>
      <c r="V1184" s="103">
        <v>3</v>
      </c>
      <c r="W1184" s="103">
        <v>3</v>
      </c>
      <c r="X1184" s="103"/>
      <c r="Y1184" s="103"/>
      <c r="Z1184" s="103"/>
      <c r="AA1184" s="103">
        <v>545</v>
      </c>
      <c r="AB1184" s="103"/>
      <c r="AC1184" s="103"/>
      <c r="AD1184" s="103"/>
      <c r="AE1184" s="103"/>
      <c r="AF1184" s="103"/>
      <c r="AG1184" s="103">
        <v>1000</v>
      </c>
      <c r="AH1184" s="103"/>
      <c r="AI1184" s="103"/>
      <c r="AJ1184" s="103">
        <v>20</v>
      </c>
      <c r="AK1184" s="103"/>
      <c r="AL1184" s="103">
        <v>4</v>
      </c>
      <c r="AM1184" s="103"/>
      <c r="AN1184" s="103"/>
      <c r="AO1184" s="103">
        <v>825</v>
      </c>
      <c r="AP1184" s="103"/>
      <c r="AQ1184" s="103"/>
      <c r="AR1184" s="103"/>
      <c r="AS1184" s="103">
        <v>750</v>
      </c>
      <c r="AT1184" s="103"/>
      <c r="AU1184" s="103"/>
      <c r="AV1184" s="103"/>
      <c r="AW1184" s="104" t="str">
        <f>HYPERLINK("http://www.openstreetmap.org/?mlat=36.3589&amp;mlon=43.2532&amp;zoom=12#map=12/36.3589/43.2532","Maplink1")</f>
        <v>Maplink1</v>
      </c>
      <c r="AX1184" s="104" t="str">
        <f>HYPERLINK("https://www.google.iq/maps/search/+36.3589,43.2532/@36.3589,43.2532,14z?hl=en","Maplink2")</f>
        <v>Maplink2</v>
      </c>
      <c r="AY1184" s="104" t="str">
        <f>HYPERLINK("http://www.bing.com/maps/?lvl=14&amp;sty=h&amp;cp=36.3589~43.2532&amp;sp=point.36.3589_43.2532","Maplink3")</f>
        <v>Maplink3</v>
      </c>
    </row>
    <row r="1185" spans="1:51" x14ac:dyDescent="0.2">
      <c r="A1185" s="102">
        <v>31769</v>
      </c>
      <c r="B1185" s="103" t="s">
        <v>35</v>
      </c>
      <c r="C1185" s="103" t="s">
        <v>102</v>
      </c>
      <c r="D1185" s="103" t="s">
        <v>2720</v>
      </c>
      <c r="E1185" s="103" t="s">
        <v>2721</v>
      </c>
      <c r="F1185" s="103">
        <v>36.538539999999998</v>
      </c>
      <c r="G1185" s="103">
        <v>43.236147071399998</v>
      </c>
      <c r="H1185" s="102">
        <v>190</v>
      </c>
      <c r="I1185" s="102">
        <v>1140</v>
      </c>
      <c r="J1185" s="103"/>
      <c r="K1185" s="103"/>
      <c r="L1185" s="103"/>
      <c r="M1185" s="103">
        <v>190</v>
      </c>
      <c r="N1185" s="103"/>
      <c r="O1185" s="103"/>
      <c r="P1185" s="103"/>
      <c r="Q1185" s="103"/>
      <c r="R1185" s="103"/>
      <c r="S1185" s="103"/>
      <c r="T1185" s="103"/>
      <c r="U1185" s="103"/>
      <c r="V1185" s="103"/>
      <c r="W1185" s="103"/>
      <c r="X1185" s="103"/>
      <c r="Y1185" s="103">
        <v>95</v>
      </c>
      <c r="Z1185" s="103"/>
      <c r="AA1185" s="103">
        <v>42</v>
      </c>
      <c r="AB1185" s="103"/>
      <c r="AC1185" s="103"/>
      <c r="AD1185" s="103"/>
      <c r="AE1185" s="103"/>
      <c r="AF1185" s="103"/>
      <c r="AG1185" s="103">
        <v>53</v>
      </c>
      <c r="AH1185" s="103"/>
      <c r="AI1185" s="103"/>
      <c r="AJ1185" s="103"/>
      <c r="AK1185" s="103"/>
      <c r="AL1185" s="103"/>
      <c r="AM1185" s="103"/>
      <c r="AN1185" s="103"/>
      <c r="AO1185" s="103">
        <v>190</v>
      </c>
      <c r="AP1185" s="103"/>
      <c r="AQ1185" s="103"/>
      <c r="AR1185" s="103"/>
      <c r="AS1185" s="103"/>
      <c r="AT1185" s="103"/>
      <c r="AU1185" s="103"/>
      <c r="AV1185" s="103"/>
      <c r="AW1185" s="104" t="str">
        <f>HYPERLINK("http://www.openstreetmap.org/?mlat=36.5385&amp;mlon=43.2361&amp;zoom=12#map=12/36.5385/43.2361","Maplink1")</f>
        <v>Maplink1</v>
      </c>
      <c r="AX1185" s="104" t="str">
        <f>HYPERLINK("https://www.google.iq/maps/search/+36.5385,43.2361/@36.5385,43.2361,14z?hl=en","Maplink2")</f>
        <v>Maplink2</v>
      </c>
      <c r="AY1185" s="104" t="str">
        <f>HYPERLINK("http://www.bing.com/maps/?lvl=14&amp;sty=h&amp;cp=36.5385~43.2361&amp;sp=point.36.5385_43.2361","Maplink3")</f>
        <v>Maplink3</v>
      </c>
    </row>
    <row r="1186" spans="1:51" x14ac:dyDescent="0.2">
      <c r="A1186" s="102">
        <v>33205</v>
      </c>
      <c r="B1186" s="103" t="s">
        <v>35</v>
      </c>
      <c r="C1186" s="103" t="s">
        <v>102</v>
      </c>
      <c r="D1186" s="103" t="s">
        <v>2722</v>
      </c>
      <c r="E1186" s="103" t="s">
        <v>2723</v>
      </c>
      <c r="F1186" s="103">
        <v>36.027616999999999</v>
      </c>
      <c r="G1186" s="103">
        <v>42.729170231099999</v>
      </c>
      <c r="H1186" s="102">
        <v>250</v>
      </c>
      <c r="I1186" s="102">
        <v>1500</v>
      </c>
      <c r="J1186" s="103"/>
      <c r="K1186" s="103"/>
      <c r="L1186" s="103"/>
      <c r="M1186" s="103">
        <v>200</v>
      </c>
      <c r="N1186" s="103">
        <v>50</v>
      </c>
      <c r="O1186" s="103"/>
      <c r="P1186" s="103"/>
      <c r="Q1186" s="103"/>
      <c r="R1186" s="103"/>
      <c r="S1186" s="103"/>
      <c r="T1186" s="103"/>
      <c r="U1186" s="103"/>
      <c r="V1186" s="103"/>
      <c r="W1186" s="103"/>
      <c r="X1186" s="103"/>
      <c r="Y1186" s="103"/>
      <c r="Z1186" s="103"/>
      <c r="AA1186" s="103"/>
      <c r="AB1186" s="103"/>
      <c r="AC1186" s="103"/>
      <c r="AD1186" s="103"/>
      <c r="AE1186" s="103"/>
      <c r="AF1186" s="103"/>
      <c r="AG1186" s="103">
        <v>250</v>
      </c>
      <c r="AH1186" s="103"/>
      <c r="AI1186" s="103"/>
      <c r="AJ1186" s="103"/>
      <c r="AK1186" s="103"/>
      <c r="AL1186" s="103"/>
      <c r="AM1186" s="103"/>
      <c r="AN1186" s="103"/>
      <c r="AO1186" s="103"/>
      <c r="AP1186" s="103"/>
      <c r="AQ1186" s="103"/>
      <c r="AR1186" s="103"/>
      <c r="AS1186" s="103">
        <v>250</v>
      </c>
      <c r="AT1186" s="103"/>
      <c r="AU1186" s="103"/>
      <c r="AV1186" s="103"/>
      <c r="AW1186" s="104" t="str">
        <f>HYPERLINK("http://www.openstreetmap.org/?mlat=36.0276&amp;mlon=42.7292&amp;zoom=12#map=12/36.0276/42.7292","Maplink1")</f>
        <v>Maplink1</v>
      </c>
      <c r="AX1186" s="104" t="str">
        <f>HYPERLINK("https://www.google.iq/maps/search/+36.0276,42.7292/@36.0276,42.7292,14z?hl=en","Maplink2")</f>
        <v>Maplink2</v>
      </c>
      <c r="AY1186" s="104" t="str">
        <f>HYPERLINK("http://www.bing.com/maps/?lvl=14&amp;sty=h&amp;cp=36.0276~42.7292&amp;sp=point.36.0276_42.7292","Maplink3")</f>
        <v>Maplink3</v>
      </c>
    </row>
    <row r="1187" spans="1:51" x14ac:dyDescent="0.2">
      <c r="A1187" s="102">
        <v>33602</v>
      </c>
      <c r="B1187" s="103" t="s">
        <v>35</v>
      </c>
      <c r="C1187" s="103" t="s">
        <v>102</v>
      </c>
      <c r="D1187" s="103" t="s">
        <v>2724</v>
      </c>
      <c r="E1187" s="103" t="s">
        <v>2725</v>
      </c>
      <c r="F1187" s="103">
        <v>36.188865</v>
      </c>
      <c r="G1187" s="103">
        <v>42.873236218700001</v>
      </c>
      <c r="H1187" s="102">
        <v>20</v>
      </c>
      <c r="I1187" s="102">
        <v>120</v>
      </c>
      <c r="J1187" s="103"/>
      <c r="K1187" s="103"/>
      <c r="L1187" s="103"/>
      <c r="M1187" s="103">
        <v>18</v>
      </c>
      <c r="N1187" s="103">
        <v>2</v>
      </c>
      <c r="O1187" s="103"/>
      <c r="P1187" s="103"/>
      <c r="Q1187" s="103"/>
      <c r="R1187" s="103"/>
      <c r="S1187" s="103"/>
      <c r="T1187" s="103"/>
      <c r="U1187" s="103"/>
      <c r="V1187" s="103"/>
      <c r="W1187" s="103"/>
      <c r="X1187" s="103"/>
      <c r="Y1187" s="103"/>
      <c r="Z1187" s="103"/>
      <c r="AA1187" s="103"/>
      <c r="AB1187" s="103"/>
      <c r="AC1187" s="103"/>
      <c r="AD1187" s="103"/>
      <c r="AE1187" s="103"/>
      <c r="AF1187" s="103"/>
      <c r="AG1187" s="103">
        <v>20</v>
      </c>
      <c r="AH1187" s="103"/>
      <c r="AI1187" s="103"/>
      <c r="AJ1187" s="103"/>
      <c r="AK1187" s="103"/>
      <c r="AL1187" s="103"/>
      <c r="AM1187" s="103"/>
      <c r="AN1187" s="103"/>
      <c r="AO1187" s="103"/>
      <c r="AP1187" s="103"/>
      <c r="AQ1187" s="103"/>
      <c r="AR1187" s="103"/>
      <c r="AS1187" s="103">
        <v>20</v>
      </c>
      <c r="AT1187" s="103"/>
      <c r="AU1187" s="103"/>
      <c r="AV1187" s="103"/>
      <c r="AW1187" s="104" t="str">
        <f>HYPERLINK("http://www.openstreetmap.org/?mlat=36.1889&amp;mlon=42.8732&amp;zoom=12#map=12/36.1889/42.8732","Maplink1")</f>
        <v>Maplink1</v>
      </c>
      <c r="AX1187" s="104" t="str">
        <f>HYPERLINK("https://www.google.iq/maps/search/+36.1889,42.8732/@36.1889,42.8732,14z?hl=en","Maplink2")</f>
        <v>Maplink2</v>
      </c>
      <c r="AY1187" s="104" t="str">
        <f>HYPERLINK("http://www.bing.com/maps/?lvl=14&amp;sty=h&amp;cp=36.1889~42.8732&amp;sp=point.36.1889_42.8732","Maplink3")</f>
        <v>Maplink3</v>
      </c>
    </row>
    <row r="1188" spans="1:51" x14ac:dyDescent="0.2">
      <c r="A1188" s="102">
        <v>33245</v>
      </c>
      <c r="B1188" s="103" t="s">
        <v>35</v>
      </c>
      <c r="C1188" s="103" t="s">
        <v>102</v>
      </c>
      <c r="D1188" s="103" t="s">
        <v>2802</v>
      </c>
      <c r="E1188" s="103" t="s">
        <v>628</v>
      </c>
      <c r="F1188" s="103">
        <v>36.316155387999999</v>
      </c>
      <c r="G1188" s="103">
        <v>43.097372893500001</v>
      </c>
      <c r="H1188" s="102">
        <v>747</v>
      </c>
      <c r="I1188" s="102">
        <v>4482</v>
      </c>
      <c r="J1188" s="103"/>
      <c r="K1188" s="103"/>
      <c r="L1188" s="103"/>
      <c r="M1188" s="103">
        <v>747</v>
      </c>
      <c r="N1188" s="103"/>
      <c r="O1188" s="103"/>
      <c r="P1188" s="103"/>
      <c r="Q1188" s="103"/>
      <c r="R1188" s="103"/>
      <c r="S1188" s="103"/>
      <c r="T1188" s="103"/>
      <c r="U1188" s="103"/>
      <c r="V1188" s="103"/>
      <c r="W1188" s="103"/>
      <c r="X1188" s="103"/>
      <c r="Y1188" s="103"/>
      <c r="Z1188" s="103"/>
      <c r="AA1188" s="103"/>
      <c r="AB1188" s="103"/>
      <c r="AC1188" s="103"/>
      <c r="AD1188" s="103"/>
      <c r="AE1188" s="103"/>
      <c r="AF1188" s="103"/>
      <c r="AG1188" s="103">
        <v>747</v>
      </c>
      <c r="AH1188" s="103"/>
      <c r="AI1188" s="103"/>
      <c r="AJ1188" s="103"/>
      <c r="AK1188" s="103"/>
      <c r="AL1188" s="103"/>
      <c r="AM1188" s="103"/>
      <c r="AN1188" s="103"/>
      <c r="AO1188" s="103"/>
      <c r="AP1188" s="103"/>
      <c r="AQ1188" s="103"/>
      <c r="AR1188" s="103"/>
      <c r="AS1188" s="103">
        <v>747</v>
      </c>
      <c r="AT1188" s="103"/>
      <c r="AU1188" s="103"/>
      <c r="AV1188" s="103"/>
      <c r="AW1188" s="104" t="str">
        <f>HYPERLINK("http://www.openstreetmap.org/?mlat=36.3162&amp;mlon=43.0974&amp;zoom=12#map=12/36.3162/43.0974","Maplink1")</f>
        <v>Maplink1</v>
      </c>
      <c r="AX1188" s="104" t="str">
        <f>HYPERLINK("https://www.google.iq/maps/search/+36.3162,43.0974/@36.3162,43.0974,14z?hl=en","Maplink2")</f>
        <v>Maplink2</v>
      </c>
      <c r="AY1188" s="104" t="str">
        <f>HYPERLINK("http://www.bing.com/maps/?lvl=14&amp;sty=h&amp;cp=36.3162~43.0974&amp;sp=point.36.3162_43.0974","Maplink3")</f>
        <v>Maplink3</v>
      </c>
    </row>
    <row r="1189" spans="1:51" x14ac:dyDescent="0.2">
      <c r="A1189" s="102">
        <v>33248</v>
      </c>
      <c r="B1189" s="103" t="s">
        <v>35</v>
      </c>
      <c r="C1189" s="103" t="s">
        <v>102</v>
      </c>
      <c r="D1189" s="103" t="s">
        <v>2803</v>
      </c>
      <c r="E1189" s="103" t="s">
        <v>2804</v>
      </c>
      <c r="F1189" s="103">
        <v>36.360072300900001</v>
      </c>
      <c r="G1189" s="103">
        <v>43.094591270400002</v>
      </c>
      <c r="H1189" s="102">
        <v>857</v>
      </c>
      <c r="I1189" s="102">
        <v>5142</v>
      </c>
      <c r="J1189" s="103"/>
      <c r="K1189" s="103"/>
      <c r="L1189" s="103"/>
      <c r="M1189" s="103">
        <v>857</v>
      </c>
      <c r="N1189" s="103"/>
      <c r="O1189" s="103"/>
      <c r="P1189" s="103"/>
      <c r="Q1189" s="103"/>
      <c r="R1189" s="103"/>
      <c r="S1189" s="103"/>
      <c r="T1189" s="103"/>
      <c r="U1189" s="103"/>
      <c r="V1189" s="103"/>
      <c r="W1189" s="103"/>
      <c r="X1189" s="103"/>
      <c r="Y1189" s="103">
        <v>10</v>
      </c>
      <c r="Z1189" s="103"/>
      <c r="AA1189" s="103">
        <v>15</v>
      </c>
      <c r="AB1189" s="103"/>
      <c r="AC1189" s="103"/>
      <c r="AD1189" s="103"/>
      <c r="AE1189" s="103"/>
      <c r="AF1189" s="103"/>
      <c r="AG1189" s="103">
        <v>832</v>
      </c>
      <c r="AH1189" s="103"/>
      <c r="AI1189" s="103"/>
      <c r="AJ1189" s="103"/>
      <c r="AK1189" s="103"/>
      <c r="AL1189" s="103"/>
      <c r="AM1189" s="103"/>
      <c r="AN1189" s="103">
        <v>25</v>
      </c>
      <c r="AO1189" s="103"/>
      <c r="AP1189" s="103"/>
      <c r="AQ1189" s="103"/>
      <c r="AR1189" s="103"/>
      <c r="AS1189" s="103">
        <v>832</v>
      </c>
      <c r="AT1189" s="103"/>
      <c r="AU1189" s="103"/>
      <c r="AV1189" s="103"/>
      <c r="AW1189" s="104" t="str">
        <f>HYPERLINK("http://www.openstreetmap.org/?mlat=36.3601&amp;mlon=43.0946&amp;zoom=12#map=12/36.3601/43.0946","Maplink1")</f>
        <v>Maplink1</v>
      </c>
      <c r="AX1189" s="104" t="str">
        <f>HYPERLINK("https://www.google.iq/maps/search/+36.3601,43.0946/@36.3601,43.0946,14z?hl=en","Maplink2")</f>
        <v>Maplink2</v>
      </c>
      <c r="AY1189" s="104" t="str">
        <f>HYPERLINK("http://www.bing.com/maps/?lvl=14&amp;sty=h&amp;cp=36.3601~43.0946&amp;sp=point.36.3601_43.0946","Maplink3")</f>
        <v>Maplink3</v>
      </c>
    </row>
    <row r="1190" spans="1:51" x14ac:dyDescent="0.2">
      <c r="A1190" s="102">
        <v>33710</v>
      </c>
      <c r="B1190" s="103" t="s">
        <v>35</v>
      </c>
      <c r="C1190" s="103" t="s">
        <v>102</v>
      </c>
      <c r="D1190" s="103" t="s">
        <v>2805</v>
      </c>
      <c r="E1190" s="103" t="s">
        <v>2806</v>
      </c>
      <c r="F1190" s="103">
        <v>36.419319999999999</v>
      </c>
      <c r="G1190" s="103">
        <v>42.890201237799999</v>
      </c>
      <c r="H1190" s="102">
        <v>250</v>
      </c>
      <c r="I1190" s="102">
        <v>1500</v>
      </c>
      <c r="J1190" s="103"/>
      <c r="K1190" s="103"/>
      <c r="L1190" s="103"/>
      <c r="M1190" s="103">
        <v>243</v>
      </c>
      <c r="N1190" s="103">
        <v>7</v>
      </c>
      <c r="O1190" s="103"/>
      <c r="P1190" s="103"/>
      <c r="Q1190" s="103"/>
      <c r="R1190" s="103"/>
      <c r="S1190" s="103"/>
      <c r="T1190" s="103"/>
      <c r="U1190" s="103"/>
      <c r="V1190" s="103"/>
      <c r="W1190" s="103"/>
      <c r="X1190" s="103"/>
      <c r="Y1190" s="103"/>
      <c r="Z1190" s="103"/>
      <c r="AA1190" s="103"/>
      <c r="AB1190" s="103"/>
      <c r="AC1190" s="103"/>
      <c r="AD1190" s="103"/>
      <c r="AE1190" s="103"/>
      <c r="AF1190" s="103"/>
      <c r="AG1190" s="103">
        <v>250</v>
      </c>
      <c r="AH1190" s="103"/>
      <c r="AI1190" s="103"/>
      <c r="AJ1190" s="103"/>
      <c r="AK1190" s="103"/>
      <c r="AL1190" s="103"/>
      <c r="AM1190" s="103"/>
      <c r="AN1190" s="103"/>
      <c r="AO1190" s="103"/>
      <c r="AP1190" s="103"/>
      <c r="AQ1190" s="103"/>
      <c r="AR1190" s="103"/>
      <c r="AS1190" s="103">
        <v>250</v>
      </c>
      <c r="AT1190" s="103"/>
      <c r="AU1190" s="103"/>
      <c r="AV1190" s="103"/>
      <c r="AW1190" s="104" t="str">
        <f>HYPERLINK("http://www.openstreetmap.org/?mlat=36.4193&amp;mlon=42.8902&amp;zoom=12#map=12/36.4193/42.8902","Maplink1")</f>
        <v>Maplink1</v>
      </c>
      <c r="AX1190" s="104" t="str">
        <f>HYPERLINK("https://www.google.iq/maps/search/+36.4193,42.8902/@36.4193,42.8902,14z?hl=en","Maplink2")</f>
        <v>Maplink2</v>
      </c>
      <c r="AY1190" s="104" t="str">
        <f>HYPERLINK("http://www.bing.com/maps/?lvl=14&amp;sty=h&amp;cp=36.4193~42.8902&amp;sp=point.36.4193_42.8902","Maplink3")</f>
        <v>Maplink3</v>
      </c>
    </row>
    <row r="1191" spans="1:51" x14ac:dyDescent="0.2">
      <c r="A1191" s="102">
        <v>34097</v>
      </c>
      <c r="B1191" s="103" t="s">
        <v>35</v>
      </c>
      <c r="C1191" s="103" t="s">
        <v>102</v>
      </c>
      <c r="D1191" s="103" t="s">
        <v>3985</v>
      </c>
      <c r="E1191" s="103" t="s">
        <v>3986</v>
      </c>
      <c r="F1191" s="103">
        <v>35.864829999999998</v>
      </c>
      <c r="G1191" s="103">
        <v>43.056044</v>
      </c>
      <c r="H1191" s="102">
        <v>8</v>
      </c>
      <c r="I1191" s="102">
        <v>48</v>
      </c>
      <c r="J1191" s="103"/>
      <c r="K1191" s="103"/>
      <c r="L1191" s="103"/>
      <c r="M1191" s="103">
        <v>8</v>
      </c>
      <c r="N1191" s="103"/>
      <c r="O1191" s="103"/>
      <c r="P1191" s="103"/>
      <c r="Q1191" s="103"/>
      <c r="R1191" s="103"/>
      <c r="S1191" s="103"/>
      <c r="T1191" s="103"/>
      <c r="U1191" s="103"/>
      <c r="V1191" s="103"/>
      <c r="W1191" s="103"/>
      <c r="X1191" s="103"/>
      <c r="Y1191" s="103"/>
      <c r="Z1191" s="103"/>
      <c r="AA1191" s="103">
        <v>8</v>
      </c>
      <c r="AB1191" s="103"/>
      <c r="AC1191" s="103"/>
      <c r="AD1191" s="103"/>
      <c r="AE1191" s="103"/>
      <c r="AF1191" s="103"/>
      <c r="AG1191" s="103"/>
      <c r="AH1191" s="103"/>
      <c r="AI1191" s="103"/>
      <c r="AJ1191" s="103"/>
      <c r="AK1191" s="103"/>
      <c r="AL1191" s="103"/>
      <c r="AM1191" s="103"/>
      <c r="AN1191" s="103"/>
      <c r="AO1191" s="103"/>
      <c r="AP1191" s="103">
        <v>8</v>
      </c>
      <c r="AQ1191" s="103"/>
      <c r="AR1191" s="103"/>
      <c r="AS1191" s="103"/>
      <c r="AT1191" s="103"/>
      <c r="AU1191" s="103"/>
      <c r="AV1191" s="103"/>
      <c r="AW1191" s="104" t="str">
        <f>HYPERLINK("http://www.openstreetmap.org/?mlat=35.8648&amp;mlon=43.056&amp;zoom=12#map=12/35.8648/43.056","Maplink1")</f>
        <v>Maplink1</v>
      </c>
      <c r="AX1191" s="104" t="str">
        <f>HYPERLINK("https://www.google.iq/maps/search/+35.8648,43.056/@35.8648,43.056,14z?hl=en","Maplink2")</f>
        <v>Maplink2</v>
      </c>
      <c r="AY1191" s="104" t="str">
        <f>HYPERLINK("http://www.bing.com/maps/?lvl=14&amp;sty=h&amp;cp=35.8648~43.056&amp;sp=point.35.8648_43.056","Maplink3")</f>
        <v>Maplink3</v>
      </c>
    </row>
    <row r="1192" spans="1:51" x14ac:dyDescent="0.2">
      <c r="A1192" s="102">
        <v>20933</v>
      </c>
      <c r="B1192" s="103" t="s">
        <v>35</v>
      </c>
      <c r="C1192" s="103" t="s">
        <v>102</v>
      </c>
      <c r="D1192" s="103" t="s">
        <v>2692</v>
      </c>
      <c r="E1192" s="103" t="s">
        <v>2693</v>
      </c>
      <c r="F1192" s="103">
        <v>36.373695055399999</v>
      </c>
      <c r="G1192" s="103">
        <v>42.931939581199998</v>
      </c>
      <c r="H1192" s="102">
        <v>140</v>
      </c>
      <c r="I1192" s="102">
        <v>840</v>
      </c>
      <c r="J1192" s="103"/>
      <c r="K1192" s="103"/>
      <c r="L1192" s="103"/>
      <c r="M1192" s="103">
        <v>137</v>
      </c>
      <c r="N1192" s="103">
        <v>3</v>
      </c>
      <c r="O1192" s="103"/>
      <c r="P1192" s="103"/>
      <c r="Q1192" s="103"/>
      <c r="R1192" s="103"/>
      <c r="S1192" s="103"/>
      <c r="T1192" s="103"/>
      <c r="U1192" s="103"/>
      <c r="V1192" s="103"/>
      <c r="W1192" s="103"/>
      <c r="X1192" s="103"/>
      <c r="Y1192" s="103"/>
      <c r="Z1192" s="103"/>
      <c r="AA1192" s="103"/>
      <c r="AB1192" s="103"/>
      <c r="AC1192" s="103"/>
      <c r="AD1192" s="103"/>
      <c r="AE1192" s="103"/>
      <c r="AF1192" s="103"/>
      <c r="AG1192" s="103">
        <v>140</v>
      </c>
      <c r="AH1192" s="103"/>
      <c r="AI1192" s="103"/>
      <c r="AJ1192" s="103"/>
      <c r="AK1192" s="103"/>
      <c r="AL1192" s="103"/>
      <c r="AM1192" s="103"/>
      <c r="AN1192" s="103"/>
      <c r="AO1192" s="103"/>
      <c r="AP1192" s="103"/>
      <c r="AQ1192" s="103"/>
      <c r="AR1192" s="103"/>
      <c r="AS1192" s="103"/>
      <c r="AT1192" s="103">
        <v>140</v>
      </c>
      <c r="AU1192" s="103"/>
      <c r="AV1192" s="103"/>
      <c r="AW1192" s="104" t="str">
        <f>HYPERLINK("http://www.openstreetmap.org/?mlat=36.3737&amp;mlon=42.9319&amp;zoom=12#map=12/36.3737/42.9319","Maplink1")</f>
        <v>Maplink1</v>
      </c>
      <c r="AX1192" s="104" t="str">
        <f>HYPERLINK("https://www.google.iq/maps/search/+36.3737,42.9319/@36.3737,42.9319,14z?hl=en","Maplink2")</f>
        <v>Maplink2</v>
      </c>
      <c r="AY1192" s="104" t="str">
        <f>HYPERLINK("http://www.bing.com/maps/?lvl=14&amp;sty=h&amp;cp=36.3737~42.9319&amp;sp=point.36.3737_42.9319","Maplink3")</f>
        <v>Maplink3</v>
      </c>
    </row>
    <row r="1193" spans="1:51" x14ac:dyDescent="0.2">
      <c r="A1193" s="102">
        <v>31890</v>
      </c>
      <c r="B1193" s="103" t="s">
        <v>35</v>
      </c>
      <c r="C1193" s="103" t="s">
        <v>102</v>
      </c>
      <c r="D1193" s="103" t="s">
        <v>2753</v>
      </c>
      <c r="E1193" s="103" t="s">
        <v>2754</v>
      </c>
      <c r="F1193" s="103">
        <v>36.182980000000001</v>
      </c>
      <c r="G1193" s="103">
        <v>43.231561597099997</v>
      </c>
      <c r="H1193" s="102">
        <v>1112</v>
      </c>
      <c r="I1193" s="102">
        <v>6672</v>
      </c>
      <c r="J1193" s="103"/>
      <c r="K1193" s="103"/>
      <c r="L1193" s="103"/>
      <c r="M1193" s="103">
        <v>1038</v>
      </c>
      <c r="N1193" s="103">
        <v>74</v>
      </c>
      <c r="O1193" s="103"/>
      <c r="P1193" s="103"/>
      <c r="Q1193" s="103"/>
      <c r="R1193" s="103"/>
      <c r="S1193" s="103"/>
      <c r="T1193" s="103"/>
      <c r="U1193" s="103"/>
      <c r="V1193" s="103"/>
      <c r="W1193" s="103"/>
      <c r="X1193" s="103"/>
      <c r="Y1193" s="103"/>
      <c r="Z1193" s="103"/>
      <c r="AA1193" s="103"/>
      <c r="AB1193" s="103"/>
      <c r="AC1193" s="103"/>
      <c r="AD1193" s="103"/>
      <c r="AE1193" s="103"/>
      <c r="AF1193" s="103"/>
      <c r="AG1193" s="103">
        <v>1112</v>
      </c>
      <c r="AH1193" s="103"/>
      <c r="AI1193" s="103"/>
      <c r="AJ1193" s="103"/>
      <c r="AK1193" s="103"/>
      <c r="AL1193" s="103"/>
      <c r="AM1193" s="103"/>
      <c r="AN1193" s="103"/>
      <c r="AO1193" s="103"/>
      <c r="AP1193" s="103"/>
      <c r="AQ1193" s="103"/>
      <c r="AR1193" s="103"/>
      <c r="AS1193" s="103">
        <v>1112</v>
      </c>
      <c r="AT1193" s="103"/>
      <c r="AU1193" s="103"/>
      <c r="AV1193" s="103"/>
      <c r="AW1193" s="104" t="str">
        <f>HYPERLINK("http://www.openstreetmap.org/?mlat=36.183&amp;mlon=43.2316&amp;zoom=12#map=12/36.183/43.2316","Maplink1")</f>
        <v>Maplink1</v>
      </c>
      <c r="AX1193" s="104" t="str">
        <f>HYPERLINK("https://www.google.iq/maps/search/+36.183,43.2316/@36.183,43.2316,14z?hl=en","Maplink2")</f>
        <v>Maplink2</v>
      </c>
      <c r="AY1193" s="104" t="str">
        <f>HYPERLINK("http://www.bing.com/maps/?lvl=14&amp;sty=h&amp;cp=36.183~43.2316&amp;sp=point.36.183_43.2316","Maplink3")</f>
        <v>Maplink3</v>
      </c>
    </row>
    <row r="1194" spans="1:51" x14ac:dyDescent="0.2">
      <c r="A1194" s="102">
        <v>18040</v>
      </c>
      <c r="B1194" s="103" t="s">
        <v>35</v>
      </c>
      <c r="C1194" s="103" t="s">
        <v>102</v>
      </c>
      <c r="D1194" s="103" t="s">
        <v>2755</v>
      </c>
      <c r="E1194" s="103" t="s">
        <v>2756</v>
      </c>
      <c r="F1194" s="103">
        <v>36.413694737999997</v>
      </c>
      <c r="G1194" s="103">
        <v>42.968216423299999</v>
      </c>
      <c r="H1194" s="102">
        <v>211</v>
      </c>
      <c r="I1194" s="102">
        <v>1266</v>
      </c>
      <c r="J1194" s="103"/>
      <c r="K1194" s="103"/>
      <c r="L1194" s="103"/>
      <c r="M1194" s="103">
        <v>181</v>
      </c>
      <c r="N1194" s="103">
        <v>30</v>
      </c>
      <c r="O1194" s="103"/>
      <c r="P1194" s="103"/>
      <c r="Q1194" s="103"/>
      <c r="R1194" s="103"/>
      <c r="S1194" s="103"/>
      <c r="T1194" s="103"/>
      <c r="U1194" s="103"/>
      <c r="V1194" s="103"/>
      <c r="W1194" s="103"/>
      <c r="X1194" s="103"/>
      <c r="Y1194" s="103"/>
      <c r="Z1194" s="103"/>
      <c r="AA1194" s="103"/>
      <c r="AB1194" s="103"/>
      <c r="AC1194" s="103"/>
      <c r="AD1194" s="103"/>
      <c r="AE1194" s="103"/>
      <c r="AF1194" s="103"/>
      <c r="AG1194" s="103">
        <v>211</v>
      </c>
      <c r="AH1194" s="103"/>
      <c r="AI1194" s="103"/>
      <c r="AJ1194" s="103"/>
      <c r="AK1194" s="103"/>
      <c r="AL1194" s="103"/>
      <c r="AM1194" s="103"/>
      <c r="AN1194" s="103"/>
      <c r="AO1194" s="103"/>
      <c r="AP1194" s="103"/>
      <c r="AQ1194" s="103"/>
      <c r="AR1194" s="103"/>
      <c r="AS1194" s="103">
        <v>211</v>
      </c>
      <c r="AT1194" s="103"/>
      <c r="AU1194" s="103"/>
      <c r="AV1194" s="103"/>
      <c r="AW1194" s="104" t="str">
        <f>HYPERLINK("http://www.openstreetmap.org/?mlat=36.4137&amp;mlon=42.9682&amp;zoom=12#map=12/36.4137/42.9682","Maplink1")</f>
        <v>Maplink1</v>
      </c>
      <c r="AX1194" s="104" t="str">
        <f>HYPERLINK("https://www.google.iq/maps/search/+36.4137,42.9682/@36.4137,42.9682,14z?hl=en","Maplink2")</f>
        <v>Maplink2</v>
      </c>
      <c r="AY1194" s="104" t="str">
        <f>HYPERLINK("http://www.bing.com/maps/?lvl=14&amp;sty=h&amp;cp=36.4137~42.9682&amp;sp=point.36.4137_42.9682","Maplink3")</f>
        <v>Maplink3</v>
      </c>
    </row>
    <row r="1195" spans="1:51" x14ac:dyDescent="0.2">
      <c r="A1195" s="102">
        <v>33265</v>
      </c>
      <c r="B1195" s="103" t="s">
        <v>35</v>
      </c>
      <c r="C1195" s="103" t="s">
        <v>102</v>
      </c>
      <c r="D1195" s="103" t="s">
        <v>2757</v>
      </c>
      <c r="E1195" s="103" t="s">
        <v>2758</v>
      </c>
      <c r="F1195" s="103">
        <v>36.317532999999997</v>
      </c>
      <c r="G1195" s="103">
        <v>43.123897853999999</v>
      </c>
      <c r="H1195" s="102">
        <v>597</v>
      </c>
      <c r="I1195" s="102">
        <v>3582</v>
      </c>
      <c r="J1195" s="103"/>
      <c r="K1195" s="103"/>
      <c r="L1195" s="103"/>
      <c r="M1195" s="103">
        <v>597</v>
      </c>
      <c r="N1195" s="103"/>
      <c r="O1195" s="103"/>
      <c r="P1195" s="103"/>
      <c r="Q1195" s="103"/>
      <c r="R1195" s="103"/>
      <c r="S1195" s="103"/>
      <c r="T1195" s="103"/>
      <c r="U1195" s="103"/>
      <c r="V1195" s="103"/>
      <c r="W1195" s="103"/>
      <c r="X1195" s="103"/>
      <c r="Y1195" s="103"/>
      <c r="Z1195" s="103"/>
      <c r="AA1195" s="103"/>
      <c r="AB1195" s="103"/>
      <c r="AC1195" s="103"/>
      <c r="AD1195" s="103"/>
      <c r="AE1195" s="103"/>
      <c r="AF1195" s="103"/>
      <c r="AG1195" s="103">
        <v>597</v>
      </c>
      <c r="AH1195" s="103"/>
      <c r="AI1195" s="103"/>
      <c r="AJ1195" s="103"/>
      <c r="AK1195" s="103"/>
      <c r="AL1195" s="103"/>
      <c r="AM1195" s="103"/>
      <c r="AN1195" s="103"/>
      <c r="AO1195" s="103"/>
      <c r="AP1195" s="103"/>
      <c r="AQ1195" s="103"/>
      <c r="AR1195" s="103"/>
      <c r="AS1195" s="103">
        <v>597</v>
      </c>
      <c r="AT1195" s="103"/>
      <c r="AU1195" s="103"/>
      <c r="AV1195" s="103"/>
      <c r="AW1195" s="104" t="str">
        <f>HYPERLINK("http://www.openstreetmap.org/?mlat=36.3175&amp;mlon=43.1239&amp;zoom=12#map=12/36.3175/43.1239","Maplink1")</f>
        <v>Maplink1</v>
      </c>
      <c r="AX1195" s="104" t="str">
        <f>HYPERLINK("https://www.google.iq/maps/search/+36.3175,43.1239/@36.3175,43.1239,14z?hl=en","Maplink2")</f>
        <v>Maplink2</v>
      </c>
      <c r="AY1195" s="104" t="str">
        <f>HYPERLINK("http://www.bing.com/maps/?lvl=14&amp;sty=h&amp;cp=36.3175~43.1239&amp;sp=point.36.3175_43.1239","Maplink3")</f>
        <v>Maplink3</v>
      </c>
    </row>
    <row r="1196" spans="1:51" x14ac:dyDescent="0.2">
      <c r="A1196" s="102">
        <v>33289</v>
      </c>
      <c r="B1196" s="103" t="s">
        <v>35</v>
      </c>
      <c r="C1196" s="103" t="s">
        <v>102</v>
      </c>
      <c r="D1196" s="103" t="s">
        <v>2759</v>
      </c>
      <c r="E1196" s="103" t="s">
        <v>201</v>
      </c>
      <c r="F1196" s="103">
        <v>36.340528877799997</v>
      </c>
      <c r="G1196" s="103">
        <v>43.086808135699997</v>
      </c>
      <c r="H1196" s="102">
        <v>893</v>
      </c>
      <c r="I1196" s="102">
        <v>5358</v>
      </c>
      <c r="J1196" s="103"/>
      <c r="K1196" s="103"/>
      <c r="L1196" s="103"/>
      <c r="M1196" s="103">
        <v>893</v>
      </c>
      <c r="N1196" s="103"/>
      <c r="O1196" s="103"/>
      <c r="P1196" s="103"/>
      <c r="Q1196" s="103"/>
      <c r="R1196" s="103"/>
      <c r="S1196" s="103"/>
      <c r="T1196" s="103"/>
      <c r="U1196" s="103"/>
      <c r="V1196" s="103"/>
      <c r="W1196" s="103"/>
      <c r="X1196" s="103"/>
      <c r="Y1196" s="103"/>
      <c r="Z1196" s="103"/>
      <c r="AA1196" s="103"/>
      <c r="AB1196" s="103"/>
      <c r="AC1196" s="103"/>
      <c r="AD1196" s="103"/>
      <c r="AE1196" s="103"/>
      <c r="AF1196" s="103"/>
      <c r="AG1196" s="103">
        <v>893</v>
      </c>
      <c r="AH1196" s="103"/>
      <c r="AI1196" s="103"/>
      <c r="AJ1196" s="103"/>
      <c r="AK1196" s="103"/>
      <c r="AL1196" s="103"/>
      <c r="AM1196" s="103"/>
      <c r="AN1196" s="103"/>
      <c r="AO1196" s="103"/>
      <c r="AP1196" s="103"/>
      <c r="AQ1196" s="103"/>
      <c r="AR1196" s="103"/>
      <c r="AS1196" s="103">
        <v>893</v>
      </c>
      <c r="AT1196" s="103"/>
      <c r="AU1196" s="103"/>
      <c r="AV1196" s="103"/>
      <c r="AW1196" s="104" t="str">
        <f>HYPERLINK("http://www.openstreetmap.org/?mlat=36.3405&amp;mlon=43.0868&amp;zoom=12#map=12/36.3405/43.0868","Maplink1")</f>
        <v>Maplink1</v>
      </c>
      <c r="AX1196" s="104" t="str">
        <f>HYPERLINK("https://www.google.iq/maps/search/+36.3405,43.0868/@36.3405,43.0868,14z?hl=en","Maplink2")</f>
        <v>Maplink2</v>
      </c>
      <c r="AY1196" s="104" t="str">
        <f>HYPERLINK("http://www.bing.com/maps/?lvl=14&amp;sty=h&amp;cp=36.3405~43.0868&amp;sp=point.36.3405_43.0868","Maplink3")</f>
        <v>Maplink3</v>
      </c>
    </row>
    <row r="1197" spans="1:51" x14ac:dyDescent="0.2">
      <c r="A1197" s="102">
        <v>33401</v>
      </c>
      <c r="B1197" s="103" t="s">
        <v>35</v>
      </c>
      <c r="C1197" s="103" t="s">
        <v>102</v>
      </c>
      <c r="D1197" s="103" t="s">
        <v>2760</v>
      </c>
      <c r="E1197" s="103" t="s">
        <v>2761</v>
      </c>
      <c r="F1197" s="103">
        <v>36.342190000000002</v>
      </c>
      <c r="G1197" s="103">
        <v>43.118573310400002</v>
      </c>
      <c r="H1197" s="102">
        <v>440</v>
      </c>
      <c r="I1197" s="102">
        <v>2640</v>
      </c>
      <c r="J1197" s="103"/>
      <c r="K1197" s="103"/>
      <c r="L1197" s="103"/>
      <c r="M1197" s="103">
        <v>200</v>
      </c>
      <c r="N1197" s="103">
        <v>240</v>
      </c>
      <c r="O1197" s="103"/>
      <c r="P1197" s="103"/>
      <c r="Q1197" s="103"/>
      <c r="R1197" s="103"/>
      <c r="S1197" s="103"/>
      <c r="T1197" s="103"/>
      <c r="U1197" s="103"/>
      <c r="V1197" s="103"/>
      <c r="W1197" s="103"/>
      <c r="X1197" s="103"/>
      <c r="Y1197" s="103"/>
      <c r="Z1197" s="103"/>
      <c r="AA1197" s="103"/>
      <c r="AB1197" s="103"/>
      <c r="AC1197" s="103"/>
      <c r="AD1197" s="103"/>
      <c r="AE1197" s="103"/>
      <c r="AF1197" s="103"/>
      <c r="AG1197" s="103">
        <v>440</v>
      </c>
      <c r="AH1197" s="103"/>
      <c r="AI1197" s="103"/>
      <c r="AJ1197" s="103"/>
      <c r="AK1197" s="103"/>
      <c r="AL1197" s="103"/>
      <c r="AM1197" s="103"/>
      <c r="AN1197" s="103"/>
      <c r="AO1197" s="103"/>
      <c r="AP1197" s="103"/>
      <c r="AQ1197" s="103"/>
      <c r="AR1197" s="103"/>
      <c r="AS1197" s="103">
        <v>440</v>
      </c>
      <c r="AT1197" s="103"/>
      <c r="AU1197" s="103"/>
      <c r="AV1197" s="103"/>
      <c r="AW1197" s="104" t="str">
        <f>HYPERLINK("http://www.openstreetmap.org/?mlat=36.3422&amp;mlon=43.1186&amp;zoom=12#map=12/36.3422/43.1186","Maplink1")</f>
        <v>Maplink1</v>
      </c>
      <c r="AX1197" s="104" t="str">
        <f>HYPERLINK("https://www.google.iq/maps/search/+36.3422,43.1186/@36.3422,43.1186,14z?hl=en","Maplink2")</f>
        <v>Maplink2</v>
      </c>
      <c r="AY1197" s="104" t="str">
        <f>HYPERLINK("http://www.bing.com/maps/?lvl=14&amp;sty=h&amp;cp=36.3422~43.1186&amp;sp=point.36.3422_43.1186","Maplink3")</f>
        <v>Maplink3</v>
      </c>
    </row>
    <row r="1198" spans="1:51" x14ac:dyDescent="0.2">
      <c r="A1198" s="102">
        <v>17459</v>
      </c>
      <c r="B1198" s="103" t="s">
        <v>35</v>
      </c>
      <c r="C1198" s="103" t="s">
        <v>102</v>
      </c>
      <c r="D1198" s="103" t="s">
        <v>2762</v>
      </c>
      <c r="E1198" s="103" t="s">
        <v>2763</v>
      </c>
      <c r="F1198" s="103">
        <v>36.233930999999998</v>
      </c>
      <c r="G1198" s="103">
        <v>42.900061532400002</v>
      </c>
      <c r="H1198" s="102">
        <v>49</v>
      </c>
      <c r="I1198" s="102">
        <v>294</v>
      </c>
      <c r="J1198" s="103"/>
      <c r="K1198" s="103"/>
      <c r="L1198" s="103"/>
      <c r="M1198" s="103">
        <v>40</v>
      </c>
      <c r="N1198" s="103">
        <v>9</v>
      </c>
      <c r="O1198" s="103"/>
      <c r="P1198" s="103"/>
      <c r="Q1198" s="103"/>
      <c r="R1198" s="103"/>
      <c r="S1198" s="103"/>
      <c r="T1198" s="103"/>
      <c r="U1198" s="103"/>
      <c r="V1198" s="103"/>
      <c r="W1198" s="103"/>
      <c r="X1198" s="103"/>
      <c r="Y1198" s="103"/>
      <c r="Z1198" s="103"/>
      <c r="AA1198" s="103"/>
      <c r="AB1198" s="103"/>
      <c r="AC1198" s="103"/>
      <c r="AD1198" s="103"/>
      <c r="AE1198" s="103"/>
      <c r="AF1198" s="103"/>
      <c r="AG1198" s="103">
        <v>49</v>
      </c>
      <c r="AH1198" s="103"/>
      <c r="AI1198" s="103"/>
      <c r="AJ1198" s="103"/>
      <c r="AK1198" s="103"/>
      <c r="AL1198" s="103"/>
      <c r="AM1198" s="103"/>
      <c r="AN1198" s="103"/>
      <c r="AO1198" s="103"/>
      <c r="AP1198" s="103"/>
      <c r="AQ1198" s="103"/>
      <c r="AR1198" s="103"/>
      <c r="AS1198" s="103">
        <v>49</v>
      </c>
      <c r="AT1198" s="103"/>
      <c r="AU1198" s="103"/>
      <c r="AV1198" s="103"/>
      <c r="AW1198" s="104" t="str">
        <f>HYPERLINK("http://www.openstreetmap.org/?mlat=36.2339&amp;mlon=42.9001&amp;zoom=12#map=12/36.2339/42.9001","Maplink1")</f>
        <v>Maplink1</v>
      </c>
      <c r="AX1198" s="104" t="str">
        <f>HYPERLINK("https://www.google.iq/maps/search/+36.2339,42.9001/@36.2339,42.9001,14z?hl=en","Maplink2")</f>
        <v>Maplink2</v>
      </c>
      <c r="AY1198" s="104" t="str">
        <f>HYPERLINK("http://www.bing.com/maps/?lvl=14&amp;sty=h&amp;cp=36.2339~42.9001&amp;sp=point.36.2339_42.9001","Maplink3")</f>
        <v>Maplink3</v>
      </c>
    </row>
    <row r="1199" spans="1:51" x14ac:dyDescent="0.2">
      <c r="A1199" s="102">
        <v>33707</v>
      </c>
      <c r="B1199" s="103" t="s">
        <v>35</v>
      </c>
      <c r="C1199" s="103" t="s">
        <v>102</v>
      </c>
      <c r="D1199" s="103" t="s">
        <v>2764</v>
      </c>
      <c r="E1199" s="103" t="s">
        <v>1640</v>
      </c>
      <c r="F1199" s="103">
        <v>36.283562000000003</v>
      </c>
      <c r="G1199" s="103">
        <v>42.784710765699998</v>
      </c>
      <c r="H1199" s="102">
        <v>62</v>
      </c>
      <c r="I1199" s="102">
        <v>372</v>
      </c>
      <c r="J1199" s="103"/>
      <c r="K1199" s="103"/>
      <c r="L1199" s="103"/>
      <c r="M1199" s="103">
        <v>45</v>
      </c>
      <c r="N1199" s="103">
        <v>17</v>
      </c>
      <c r="O1199" s="103"/>
      <c r="P1199" s="103"/>
      <c r="Q1199" s="103"/>
      <c r="R1199" s="103"/>
      <c r="S1199" s="103"/>
      <c r="T1199" s="103"/>
      <c r="U1199" s="103"/>
      <c r="V1199" s="103"/>
      <c r="W1199" s="103"/>
      <c r="X1199" s="103"/>
      <c r="Y1199" s="103"/>
      <c r="Z1199" s="103"/>
      <c r="AA1199" s="103"/>
      <c r="AB1199" s="103"/>
      <c r="AC1199" s="103"/>
      <c r="AD1199" s="103"/>
      <c r="AE1199" s="103"/>
      <c r="AF1199" s="103"/>
      <c r="AG1199" s="103">
        <v>62</v>
      </c>
      <c r="AH1199" s="103"/>
      <c r="AI1199" s="103"/>
      <c r="AJ1199" s="103"/>
      <c r="AK1199" s="103"/>
      <c r="AL1199" s="103"/>
      <c r="AM1199" s="103"/>
      <c r="AN1199" s="103"/>
      <c r="AO1199" s="103"/>
      <c r="AP1199" s="103"/>
      <c r="AQ1199" s="103"/>
      <c r="AR1199" s="103"/>
      <c r="AS1199" s="103">
        <v>62</v>
      </c>
      <c r="AT1199" s="103"/>
      <c r="AU1199" s="103"/>
      <c r="AV1199" s="103"/>
      <c r="AW1199" s="104" t="str">
        <f>HYPERLINK("http://www.openstreetmap.org/?mlat=36.2836&amp;mlon=42.7847&amp;zoom=12#map=12/36.2836/42.7847","Maplink1")</f>
        <v>Maplink1</v>
      </c>
      <c r="AX1199" s="104" t="str">
        <f>HYPERLINK("https://www.google.iq/maps/search/+36.2836,42.7847/@36.2836,42.7847,14z?hl=en","Maplink2")</f>
        <v>Maplink2</v>
      </c>
      <c r="AY1199" s="104" t="str">
        <f>HYPERLINK("http://www.bing.com/maps/?lvl=14&amp;sty=h&amp;cp=36.2836~42.7847&amp;sp=point.36.2836_42.7847","Maplink3")</f>
        <v>Maplink3</v>
      </c>
    </row>
    <row r="1200" spans="1:51" x14ac:dyDescent="0.2">
      <c r="A1200" s="102">
        <v>33712</v>
      </c>
      <c r="B1200" s="103" t="s">
        <v>35</v>
      </c>
      <c r="C1200" s="103" t="s">
        <v>102</v>
      </c>
      <c r="D1200" s="103" t="s">
        <v>2765</v>
      </c>
      <c r="E1200" s="103" t="s">
        <v>2766</v>
      </c>
      <c r="F1200" s="103">
        <v>36.440598999999999</v>
      </c>
      <c r="G1200" s="103">
        <v>42.9205963721</v>
      </c>
      <c r="H1200" s="102">
        <v>218</v>
      </c>
      <c r="I1200" s="102">
        <v>1308</v>
      </c>
      <c r="J1200" s="103"/>
      <c r="K1200" s="103"/>
      <c r="L1200" s="103"/>
      <c r="M1200" s="103">
        <v>207</v>
      </c>
      <c r="N1200" s="103">
        <v>11</v>
      </c>
      <c r="O1200" s="103"/>
      <c r="P1200" s="103"/>
      <c r="Q1200" s="103"/>
      <c r="R1200" s="103"/>
      <c r="S1200" s="103"/>
      <c r="T1200" s="103"/>
      <c r="U1200" s="103"/>
      <c r="V1200" s="103"/>
      <c r="W1200" s="103"/>
      <c r="X1200" s="103"/>
      <c r="Y1200" s="103"/>
      <c r="Z1200" s="103"/>
      <c r="AA1200" s="103"/>
      <c r="AB1200" s="103"/>
      <c r="AC1200" s="103"/>
      <c r="AD1200" s="103"/>
      <c r="AE1200" s="103"/>
      <c r="AF1200" s="103"/>
      <c r="AG1200" s="103">
        <v>218</v>
      </c>
      <c r="AH1200" s="103"/>
      <c r="AI1200" s="103"/>
      <c r="AJ1200" s="103"/>
      <c r="AK1200" s="103"/>
      <c r="AL1200" s="103"/>
      <c r="AM1200" s="103"/>
      <c r="AN1200" s="103"/>
      <c r="AO1200" s="103"/>
      <c r="AP1200" s="103"/>
      <c r="AQ1200" s="103"/>
      <c r="AR1200" s="103"/>
      <c r="AS1200" s="103">
        <v>218</v>
      </c>
      <c r="AT1200" s="103"/>
      <c r="AU1200" s="103"/>
      <c r="AV1200" s="103"/>
      <c r="AW1200" s="104" t="str">
        <f>HYPERLINK("http://www.openstreetmap.org/?mlat=36.4406&amp;mlon=42.9206&amp;zoom=12#map=12/36.4406/42.9206","Maplink1")</f>
        <v>Maplink1</v>
      </c>
      <c r="AX1200" s="104" t="str">
        <f>HYPERLINK("https://www.google.iq/maps/search/+36.4406,42.9206/@36.4406,42.9206,14z?hl=en","Maplink2")</f>
        <v>Maplink2</v>
      </c>
      <c r="AY1200" s="104" t="str">
        <f>HYPERLINK("http://www.bing.com/maps/?lvl=14&amp;sty=h&amp;cp=36.4406~42.9206&amp;sp=point.36.4406_42.9206","Maplink3")</f>
        <v>Maplink3</v>
      </c>
    </row>
    <row r="1201" spans="1:51" x14ac:dyDescent="0.2">
      <c r="A1201" s="102">
        <v>33247</v>
      </c>
      <c r="B1201" s="103" t="s">
        <v>35</v>
      </c>
      <c r="C1201" s="103" t="s">
        <v>102</v>
      </c>
      <c r="D1201" s="103" t="s">
        <v>2469</v>
      </c>
      <c r="E1201" s="103" t="s">
        <v>2470</v>
      </c>
      <c r="F1201" s="103">
        <v>36.326455383599999</v>
      </c>
      <c r="G1201" s="103">
        <v>43.147807382499998</v>
      </c>
      <c r="H1201" s="102">
        <v>517</v>
      </c>
      <c r="I1201" s="102">
        <v>3102</v>
      </c>
      <c r="J1201" s="103"/>
      <c r="K1201" s="103"/>
      <c r="L1201" s="103"/>
      <c r="M1201" s="103">
        <v>517</v>
      </c>
      <c r="N1201" s="103"/>
      <c r="O1201" s="103"/>
      <c r="P1201" s="103"/>
      <c r="Q1201" s="103"/>
      <c r="R1201" s="103"/>
      <c r="S1201" s="103"/>
      <c r="T1201" s="103"/>
      <c r="U1201" s="103"/>
      <c r="V1201" s="103"/>
      <c r="W1201" s="103"/>
      <c r="X1201" s="103"/>
      <c r="Y1201" s="103"/>
      <c r="Z1201" s="103"/>
      <c r="AA1201" s="103">
        <v>2</v>
      </c>
      <c r="AB1201" s="103"/>
      <c r="AC1201" s="103"/>
      <c r="AD1201" s="103"/>
      <c r="AE1201" s="103"/>
      <c r="AF1201" s="103"/>
      <c r="AG1201" s="103">
        <v>514</v>
      </c>
      <c r="AH1201" s="103"/>
      <c r="AI1201" s="103"/>
      <c r="AJ1201" s="103">
        <v>1</v>
      </c>
      <c r="AK1201" s="103"/>
      <c r="AL1201" s="103"/>
      <c r="AM1201" s="103"/>
      <c r="AN1201" s="103">
        <v>3</v>
      </c>
      <c r="AO1201" s="103"/>
      <c r="AP1201" s="103"/>
      <c r="AQ1201" s="103"/>
      <c r="AR1201" s="103"/>
      <c r="AS1201" s="103">
        <v>514</v>
      </c>
      <c r="AT1201" s="103"/>
      <c r="AU1201" s="103"/>
      <c r="AV1201" s="103"/>
      <c r="AW1201" s="104" t="str">
        <f>HYPERLINK("http://www.openstreetmap.org/?mlat=36.3265&amp;mlon=43.1478&amp;zoom=12#map=12/36.3265/43.1478","Maplink1")</f>
        <v>Maplink1</v>
      </c>
      <c r="AX1201" s="104" t="str">
        <f>HYPERLINK("https://www.google.iq/maps/search/+36.3265,43.1478/@36.3265,43.1478,14z?hl=en","Maplink2")</f>
        <v>Maplink2</v>
      </c>
      <c r="AY1201" s="104" t="str">
        <f>HYPERLINK("http://www.bing.com/maps/?lvl=14&amp;sty=h&amp;cp=36.3265~43.1478&amp;sp=point.36.3265_43.1478","Maplink3")</f>
        <v>Maplink3</v>
      </c>
    </row>
    <row r="1202" spans="1:51" x14ac:dyDescent="0.2">
      <c r="A1202" s="102">
        <v>33257</v>
      </c>
      <c r="B1202" s="103" t="s">
        <v>35</v>
      </c>
      <c r="C1202" s="103" t="s">
        <v>102</v>
      </c>
      <c r="D1202" s="103" t="s">
        <v>2471</v>
      </c>
      <c r="E1202" s="103" t="s">
        <v>2472</v>
      </c>
      <c r="F1202" s="103">
        <v>36.378836712599998</v>
      </c>
      <c r="G1202" s="103">
        <v>43.0738049805</v>
      </c>
      <c r="H1202" s="102">
        <v>942</v>
      </c>
      <c r="I1202" s="102">
        <v>5652</v>
      </c>
      <c r="J1202" s="103"/>
      <c r="K1202" s="103"/>
      <c r="L1202" s="103"/>
      <c r="M1202" s="103">
        <v>942</v>
      </c>
      <c r="N1202" s="103"/>
      <c r="O1202" s="103"/>
      <c r="P1202" s="103"/>
      <c r="Q1202" s="103"/>
      <c r="R1202" s="103"/>
      <c r="S1202" s="103"/>
      <c r="T1202" s="103"/>
      <c r="U1202" s="103"/>
      <c r="V1202" s="103"/>
      <c r="W1202" s="103"/>
      <c r="X1202" s="103"/>
      <c r="Y1202" s="103"/>
      <c r="Z1202" s="103"/>
      <c r="AA1202" s="103"/>
      <c r="AB1202" s="103"/>
      <c r="AC1202" s="103"/>
      <c r="AD1202" s="103"/>
      <c r="AE1202" s="103"/>
      <c r="AF1202" s="103"/>
      <c r="AG1202" s="103">
        <v>942</v>
      </c>
      <c r="AH1202" s="103"/>
      <c r="AI1202" s="103"/>
      <c r="AJ1202" s="103"/>
      <c r="AK1202" s="103"/>
      <c r="AL1202" s="103"/>
      <c r="AM1202" s="103"/>
      <c r="AN1202" s="103"/>
      <c r="AO1202" s="103"/>
      <c r="AP1202" s="103"/>
      <c r="AQ1202" s="103"/>
      <c r="AR1202" s="103"/>
      <c r="AS1202" s="103">
        <v>942</v>
      </c>
      <c r="AT1202" s="103"/>
      <c r="AU1202" s="103"/>
      <c r="AV1202" s="103"/>
      <c r="AW1202" s="104" t="str">
        <f>HYPERLINK("http://www.openstreetmap.org/?mlat=36.3788&amp;mlon=43.0738&amp;zoom=12#map=12/36.3788/43.0738","Maplink1")</f>
        <v>Maplink1</v>
      </c>
      <c r="AX1202" s="104" t="str">
        <f>HYPERLINK("https://www.google.iq/maps/search/+36.3788,43.0738/@36.3788,43.0738,14z?hl=en","Maplink2")</f>
        <v>Maplink2</v>
      </c>
      <c r="AY1202" s="104" t="str">
        <f>HYPERLINK("http://www.bing.com/maps/?lvl=14&amp;sty=h&amp;cp=36.3788~43.0738&amp;sp=point.36.3788_43.0738","Maplink3")</f>
        <v>Maplink3</v>
      </c>
    </row>
    <row r="1203" spans="1:51" x14ac:dyDescent="0.2">
      <c r="A1203" s="102">
        <v>22510</v>
      </c>
      <c r="B1203" s="103" t="s">
        <v>35</v>
      </c>
      <c r="C1203" s="103" t="s">
        <v>102</v>
      </c>
      <c r="D1203" s="103" t="s">
        <v>2473</v>
      </c>
      <c r="E1203" s="103" t="s">
        <v>2474</v>
      </c>
      <c r="F1203" s="103">
        <v>36.348913000000003</v>
      </c>
      <c r="G1203" s="103">
        <v>43.166256266399998</v>
      </c>
      <c r="H1203" s="102">
        <v>455</v>
      </c>
      <c r="I1203" s="102">
        <v>2730</v>
      </c>
      <c r="J1203" s="103"/>
      <c r="K1203" s="103"/>
      <c r="L1203" s="103"/>
      <c r="M1203" s="103">
        <v>455</v>
      </c>
      <c r="N1203" s="103"/>
      <c r="O1203" s="103"/>
      <c r="P1203" s="103"/>
      <c r="Q1203" s="103"/>
      <c r="R1203" s="103"/>
      <c r="S1203" s="103"/>
      <c r="T1203" s="103"/>
      <c r="U1203" s="103"/>
      <c r="V1203" s="103"/>
      <c r="W1203" s="103">
        <v>20</v>
      </c>
      <c r="X1203" s="103"/>
      <c r="Y1203" s="103">
        <v>51</v>
      </c>
      <c r="Z1203" s="103"/>
      <c r="AA1203" s="103">
        <v>202</v>
      </c>
      <c r="AB1203" s="103">
        <v>55</v>
      </c>
      <c r="AC1203" s="103"/>
      <c r="AD1203" s="103"/>
      <c r="AE1203" s="103"/>
      <c r="AF1203" s="103">
        <v>25</v>
      </c>
      <c r="AG1203" s="103">
        <v>102</v>
      </c>
      <c r="AH1203" s="103"/>
      <c r="AI1203" s="103"/>
      <c r="AJ1203" s="103"/>
      <c r="AK1203" s="103"/>
      <c r="AL1203" s="103"/>
      <c r="AM1203" s="103"/>
      <c r="AN1203" s="103">
        <v>353</v>
      </c>
      <c r="AO1203" s="103"/>
      <c r="AP1203" s="103"/>
      <c r="AQ1203" s="103"/>
      <c r="AR1203" s="103"/>
      <c r="AS1203" s="103">
        <v>102</v>
      </c>
      <c r="AT1203" s="103"/>
      <c r="AU1203" s="103"/>
      <c r="AV1203" s="103"/>
      <c r="AW1203" s="104" t="str">
        <f>HYPERLINK("http://www.openstreetmap.org/?mlat=36.3489&amp;mlon=43.1663&amp;zoom=12#map=12/36.3489/43.1663","Maplink1")</f>
        <v>Maplink1</v>
      </c>
      <c r="AX1203" s="104" t="str">
        <f>HYPERLINK("https://www.google.iq/maps/search/+36.3489,43.1663/@36.3489,43.1663,14z?hl=en","Maplink2")</f>
        <v>Maplink2</v>
      </c>
      <c r="AY1203" s="104" t="str">
        <f>HYPERLINK("http://www.bing.com/maps/?lvl=14&amp;sty=h&amp;cp=36.3489~43.1663&amp;sp=point.36.3489_43.1663","Maplink3")</f>
        <v>Maplink3</v>
      </c>
    </row>
    <row r="1204" spans="1:51" x14ac:dyDescent="0.2">
      <c r="A1204" s="102">
        <v>17925</v>
      </c>
      <c r="B1204" s="103" t="s">
        <v>35</v>
      </c>
      <c r="C1204" s="103" t="s">
        <v>102</v>
      </c>
      <c r="D1204" s="103" t="s">
        <v>2475</v>
      </c>
      <c r="E1204" s="103" t="s">
        <v>2476</v>
      </c>
      <c r="F1204" s="103">
        <v>35.880372000000001</v>
      </c>
      <c r="G1204" s="103">
        <v>43.389406999999999</v>
      </c>
      <c r="H1204" s="102">
        <v>190</v>
      </c>
      <c r="I1204" s="102">
        <v>1140</v>
      </c>
      <c r="J1204" s="103"/>
      <c r="K1204" s="103"/>
      <c r="L1204" s="103"/>
      <c r="M1204" s="103">
        <v>190</v>
      </c>
      <c r="N1204" s="103"/>
      <c r="O1204" s="103"/>
      <c r="P1204" s="103"/>
      <c r="Q1204" s="103"/>
      <c r="R1204" s="103"/>
      <c r="S1204" s="103"/>
      <c r="T1204" s="103"/>
      <c r="U1204" s="103"/>
      <c r="V1204" s="103"/>
      <c r="W1204" s="103"/>
      <c r="X1204" s="103"/>
      <c r="Y1204" s="103"/>
      <c r="Z1204" s="103"/>
      <c r="AA1204" s="103">
        <v>190</v>
      </c>
      <c r="AB1204" s="103"/>
      <c r="AC1204" s="103"/>
      <c r="AD1204" s="103"/>
      <c r="AE1204" s="103"/>
      <c r="AF1204" s="103"/>
      <c r="AG1204" s="103"/>
      <c r="AH1204" s="103"/>
      <c r="AI1204" s="103"/>
      <c r="AJ1204" s="103"/>
      <c r="AK1204" s="103"/>
      <c r="AL1204" s="103"/>
      <c r="AM1204" s="103"/>
      <c r="AN1204" s="103"/>
      <c r="AO1204" s="103"/>
      <c r="AP1204" s="103">
        <v>190</v>
      </c>
      <c r="AQ1204" s="103"/>
      <c r="AR1204" s="103"/>
      <c r="AS1204" s="103"/>
      <c r="AT1204" s="103"/>
      <c r="AU1204" s="103"/>
      <c r="AV1204" s="103"/>
      <c r="AW1204" s="104" t="str">
        <f>HYPERLINK("http://www.openstreetmap.org/?mlat=35.8804&amp;mlon=43.3894&amp;zoom=12#map=12/35.8804/43.3894","Maplink1")</f>
        <v>Maplink1</v>
      </c>
      <c r="AX1204" s="104" t="str">
        <f>HYPERLINK("https://www.google.iq/maps/search/+35.8804,43.3894/@35.8804,43.3894,14z?hl=en","Maplink2")</f>
        <v>Maplink2</v>
      </c>
      <c r="AY1204" s="104" t="str">
        <f>HYPERLINK("http://www.bing.com/maps/?lvl=14&amp;sty=h&amp;cp=35.8804~43.3894&amp;sp=point.35.8804_43.3894","Maplink3")</f>
        <v>Maplink3</v>
      </c>
    </row>
    <row r="1205" spans="1:51" x14ac:dyDescent="0.2">
      <c r="A1205" s="102">
        <v>33706</v>
      </c>
      <c r="B1205" s="103" t="s">
        <v>35</v>
      </c>
      <c r="C1205" s="103" t="s">
        <v>102</v>
      </c>
      <c r="D1205" s="103" t="s">
        <v>2823</v>
      </c>
      <c r="E1205" s="103" t="s">
        <v>2824</v>
      </c>
      <c r="F1205" s="103">
        <v>36.285716000000001</v>
      </c>
      <c r="G1205" s="103">
        <v>42.650007219899997</v>
      </c>
      <c r="H1205" s="102">
        <v>108</v>
      </c>
      <c r="I1205" s="102">
        <v>648</v>
      </c>
      <c r="J1205" s="103"/>
      <c r="K1205" s="103"/>
      <c r="L1205" s="103"/>
      <c r="M1205" s="103">
        <v>93</v>
      </c>
      <c r="N1205" s="103">
        <v>15</v>
      </c>
      <c r="O1205" s="103"/>
      <c r="P1205" s="103"/>
      <c r="Q1205" s="103"/>
      <c r="R1205" s="103"/>
      <c r="S1205" s="103"/>
      <c r="T1205" s="103"/>
      <c r="U1205" s="103"/>
      <c r="V1205" s="103"/>
      <c r="W1205" s="103"/>
      <c r="X1205" s="103"/>
      <c r="Y1205" s="103"/>
      <c r="Z1205" s="103"/>
      <c r="AA1205" s="103"/>
      <c r="AB1205" s="103"/>
      <c r="AC1205" s="103"/>
      <c r="AD1205" s="103"/>
      <c r="AE1205" s="103"/>
      <c r="AF1205" s="103"/>
      <c r="AG1205" s="103">
        <v>108</v>
      </c>
      <c r="AH1205" s="103"/>
      <c r="AI1205" s="103"/>
      <c r="AJ1205" s="103"/>
      <c r="AK1205" s="103"/>
      <c r="AL1205" s="103"/>
      <c r="AM1205" s="103"/>
      <c r="AN1205" s="103"/>
      <c r="AO1205" s="103"/>
      <c r="AP1205" s="103"/>
      <c r="AQ1205" s="103"/>
      <c r="AR1205" s="103"/>
      <c r="AS1205" s="103">
        <v>108</v>
      </c>
      <c r="AT1205" s="103"/>
      <c r="AU1205" s="103"/>
      <c r="AV1205" s="103"/>
      <c r="AW1205" s="104" t="str">
        <f>HYPERLINK("http://www.openstreetmap.org/?mlat=36.2857&amp;mlon=42.65&amp;zoom=12#map=12/36.2857/42.65","Maplink1")</f>
        <v>Maplink1</v>
      </c>
      <c r="AX1205" s="104" t="str">
        <f>HYPERLINK("https://www.google.iq/maps/search/+36.2857,42.65/@36.2857,42.65,14z?hl=en","Maplink2")</f>
        <v>Maplink2</v>
      </c>
      <c r="AY1205" s="104" t="str">
        <f>HYPERLINK("http://www.bing.com/maps/?lvl=14&amp;sty=h&amp;cp=36.2857~42.65&amp;sp=point.36.2857_42.65","Maplink3")</f>
        <v>Maplink3</v>
      </c>
    </row>
    <row r="1206" spans="1:51" x14ac:dyDescent="0.2">
      <c r="A1206" s="102">
        <v>33813</v>
      </c>
      <c r="B1206" s="103" t="s">
        <v>35</v>
      </c>
      <c r="C1206" s="103" t="s">
        <v>102</v>
      </c>
      <c r="D1206" s="103" t="s">
        <v>2825</v>
      </c>
      <c r="E1206" s="103" t="s">
        <v>2826</v>
      </c>
      <c r="F1206" s="103">
        <v>35.930793000000001</v>
      </c>
      <c r="G1206" s="103">
        <v>43.347341</v>
      </c>
      <c r="H1206" s="102">
        <v>390</v>
      </c>
      <c r="I1206" s="102">
        <v>2340</v>
      </c>
      <c r="J1206" s="103"/>
      <c r="K1206" s="103"/>
      <c r="L1206" s="103"/>
      <c r="M1206" s="103">
        <v>390</v>
      </c>
      <c r="N1206" s="103"/>
      <c r="O1206" s="103"/>
      <c r="P1206" s="103"/>
      <c r="Q1206" s="103"/>
      <c r="R1206" s="103"/>
      <c r="S1206" s="103"/>
      <c r="T1206" s="103"/>
      <c r="U1206" s="103"/>
      <c r="V1206" s="103"/>
      <c r="W1206" s="103"/>
      <c r="X1206" s="103"/>
      <c r="Y1206" s="103"/>
      <c r="Z1206" s="103"/>
      <c r="AA1206" s="103">
        <v>225</v>
      </c>
      <c r="AB1206" s="103"/>
      <c r="AC1206" s="103">
        <v>60</v>
      </c>
      <c r="AD1206" s="103"/>
      <c r="AE1206" s="103"/>
      <c r="AF1206" s="103"/>
      <c r="AG1206" s="103">
        <v>105</v>
      </c>
      <c r="AH1206" s="103"/>
      <c r="AI1206" s="103"/>
      <c r="AJ1206" s="103"/>
      <c r="AK1206" s="103"/>
      <c r="AL1206" s="103"/>
      <c r="AM1206" s="103"/>
      <c r="AN1206" s="103"/>
      <c r="AO1206" s="103"/>
      <c r="AP1206" s="103">
        <v>390</v>
      </c>
      <c r="AQ1206" s="103"/>
      <c r="AR1206" s="103"/>
      <c r="AS1206" s="103"/>
      <c r="AT1206" s="103"/>
      <c r="AU1206" s="103"/>
      <c r="AV1206" s="103"/>
      <c r="AW1206" s="104" t="str">
        <f>HYPERLINK("http://www.openstreetmap.org/?mlat=35.9308&amp;mlon=43.3473&amp;zoom=12#map=12/35.9308/43.3473","Maplink1")</f>
        <v>Maplink1</v>
      </c>
      <c r="AX1206" s="104" t="str">
        <f>HYPERLINK("https://www.google.iq/maps/search/+35.9308,43.3473/@35.9308,43.3473,14z?hl=en","Maplink2")</f>
        <v>Maplink2</v>
      </c>
      <c r="AY1206" s="104" t="str">
        <f>HYPERLINK("http://www.bing.com/maps/?lvl=14&amp;sty=h&amp;cp=35.9308~43.3473&amp;sp=point.35.9308_43.3473","Maplink3")</f>
        <v>Maplink3</v>
      </c>
    </row>
    <row r="1207" spans="1:51" x14ac:dyDescent="0.2">
      <c r="A1207" s="102">
        <v>32085</v>
      </c>
      <c r="B1207" s="103" t="s">
        <v>35</v>
      </c>
      <c r="C1207" s="103" t="s">
        <v>102</v>
      </c>
      <c r="D1207" s="103" t="s">
        <v>2556</v>
      </c>
      <c r="E1207" s="103" t="s">
        <v>2557</v>
      </c>
      <c r="F1207" s="103">
        <v>35.6986844292</v>
      </c>
      <c r="G1207" s="103">
        <v>43.277284416999997</v>
      </c>
      <c r="H1207" s="102">
        <v>833</v>
      </c>
      <c r="I1207" s="102">
        <v>4998</v>
      </c>
      <c r="J1207" s="103"/>
      <c r="K1207" s="103"/>
      <c r="L1207" s="103"/>
      <c r="M1207" s="103">
        <v>826</v>
      </c>
      <c r="N1207" s="103">
        <v>7</v>
      </c>
      <c r="O1207" s="103"/>
      <c r="P1207" s="103"/>
      <c r="Q1207" s="103"/>
      <c r="R1207" s="103"/>
      <c r="S1207" s="103"/>
      <c r="T1207" s="103"/>
      <c r="U1207" s="103"/>
      <c r="V1207" s="103"/>
      <c r="W1207" s="103">
        <v>25</v>
      </c>
      <c r="X1207" s="103"/>
      <c r="Y1207" s="103"/>
      <c r="Z1207" s="103"/>
      <c r="AA1207" s="103">
        <v>77</v>
      </c>
      <c r="AB1207" s="103"/>
      <c r="AC1207" s="103"/>
      <c r="AD1207" s="103"/>
      <c r="AE1207" s="103"/>
      <c r="AF1207" s="103"/>
      <c r="AG1207" s="103">
        <v>633</v>
      </c>
      <c r="AH1207" s="103"/>
      <c r="AI1207" s="103">
        <v>98</v>
      </c>
      <c r="AJ1207" s="103"/>
      <c r="AK1207" s="103"/>
      <c r="AL1207" s="103"/>
      <c r="AM1207" s="103"/>
      <c r="AN1207" s="103"/>
      <c r="AO1207" s="103"/>
      <c r="AP1207" s="103"/>
      <c r="AQ1207" s="103"/>
      <c r="AR1207" s="103">
        <v>200</v>
      </c>
      <c r="AS1207" s="103">
        <v>633</v>
      </c>
      <c r="AT1207" s="103"/>
      <c r="AU1207" s="103"/>
      <c r="AV1207" s="103"/>
      <c r="AW1207" s="104" t="str">
        <f>HYPERLINK("http://www.openstreetmap.org/?mlat=35.6987&amp;mlon=43.2773&amp;zoom=12#map=12/35.6987/43.2773","Maplink1")</f>
        <v>Maplink1</v>
      </c>
      <c r="AX1207" s="104" t="str">
        <f>HYPERLINK("https://www.google.iq/maps/search/+35.6987,43.2773/@35.6987,43.2773,14z?hl=en","Maplink2")</f>
        <v>Maplink2</v>
      </c>
      <c r="AY1207" s="104" t="str">
        <f>HYPERLINK("http://www.bing.com/maps/?lvl=14&amp;sty=h&amp;cp=35.6987~43.2773&amp;sp=point.35.6987_43.2773","Maplink3")</f>
        <v>Maplink3</v>
      </c>
    </row>
    <row r="1208" spans="1:51" x14ac:dyDescent="0.2">
      <c r="A1208" s="102">
        <v>33244</v>
      </c>
      <c r="B1208" s="103" t="s">
        <v>35</v>
      </c>
      <c r="C1208" s="103" t="s">
        <v>102</v>
      </c>
      <c r="D1208" s="103" t="s">
        <v>2558</v>
      </c>
      <c r="E1208" s="103" t="s">
        <v>1243</v>
      </c>
      <c r="F1208" s="103">
        <v>36.313855564500003</v>
      </c>
      <c r="G1208" s="103">
        <v>43.113403177000002</v>
      </c>
      <c r="H1208" s="102">
        <v>620</v>
      </c>
      <c r="I1208" s="102">
        <v>3720</v>
      </c>
      <c r="J1208" s="103"/>
      <c r="K1208" s="103"/>
      <c r="L1208" s="103"/>
      <c r="M1208" s="103">
        <v>620</v>
      </c>
      <c r="N1208" s="103"/>
      <c r="O1208" s="103"/>
      <c r="P1208" s="103"/>
      <c r="Q1208" s="103"/>
      <c r="R1208" s="103"/>
      <c r="S1208" s="103"/>
      <c r="T1208" s="103"/>
      <c r="U1208" s="103"/>
      <c r="V1208" s="103"/>
      <c r="W1208" s="103"/>
      <c r="X1208" s="103"/>
      <c r="Y1208" s="103">
        <v>3</v>
      </c>
      <c r="Z1208" s="103"/>
      <c r="AA1208" s="103">
        <v>3</v>
      </c>
      <c r="AB1208" s="103"/>
      <c r="AC1208" s="103"/>
      <c r="AD1208" s="103"/>
      <c r="AE1208" s="103"/>
      <c r="AF1208" s="103"/>
      <c r="AG1208" s="103">
        <v>614</v>
      </c>
      <c r="AH1208" s="103"/>
      <c r="AI1208" s="103"/>
      <c r="AJ1208" s="103"/>
      <c r="AK1208" s="103"/>
      <c r="AL1208" s="103"/>
      <c r="AM1208" s="103"/>
      <c r="AN1208" s="103">
        <v>6</v>
      </c>
      <c r="AO1208" s="103"/>
      <c r="AP1208" s="103"/>
      <c r="AQ1208" s="103"/>
      <c r="AR1208" s="103"/>
      <c r="AS1208" s="103">
        <v>614</v>
      </c>
      <c r="AT1208" s="103"/>
      <c r="AU1208" s="103"/>
      <c r="AV1208" s="103"/>
      <c r="AW1208" s="104" t="str">
        <f>HYPERLINK("http://www.openstreetmap.org/?mlat=36.3139&amp;mlon=43.1134&amp;zoom=12#map=12/36.3139/43.1134","Maplink1")</f>
        <v>Maplink1</v>
      </c>
      <c r="AX1208" s="104" t="str">
        <f>HYPERLINK("https://www.google.iq/maps/search/+36.3139,43.1134/@36.3139,43.1134,14z?hl=en","Maplink2")</f>
        <v>Maplink2</v>
      </c>
      <c r="AY1208" s="104" t="str">
        <f>HYPERLINK("http://www.bing.com/maps/?lvl=14&amp;sty=h&amp;cp=36.3139~43.1134&amp;sp=point.36.3139_43.1134","Maplink3")</f>
        <v>Maplink3</v>
      </c>
    </row>
    <row r="1209" spans="1:51" x14ac:dyDescent="0.2">
      <c r="A1209" s="102">
        <v>33249</v>
      </c>
      <c r="B1209" s="103" t="s">
        <v>35</v>
      </c>
      <c r="C1209" s="103" t="s">
        <v>102</v>
      </c>
      <c r="D1209" s="103" t="s">
        <v>2559</v>
      </c>
      <c r="E1209" s="103" t="s">
        <v>2560</v>
      </c>
      <c r="F1209" s="103">
        <v>36.327541749799998</v>
      </c>
      <c r="G1209" s="103">
        <v>43.102868076599997</v>
      </c>
      <c r="H1209" s="102">
        <v>672</v>
      </c>
      <c r="I1209" s="102">
        <v>4032</v>
      </c>
      <c r="J1209" s="103"/>
      <c r="K1209" s="103"/>
      <c r="L1209" s="103"/>
      <c r="M1209" s="103">
        <v>672</v>
      </c>
      <c r="N1209" s="103"/>
      <c r="O1209" s="103"/>
      <c r="P1209" s="103"/>
      <c r="Q1209" s="103"/>
      <c r="R1209" s="103"/>
      <c r="S1209" s="103"/>
      <c r="T1209" s="103"/>
      <c r="U1209" s="103"/>
      <c r="V1209" s="103"/>
      <c r="W1209" s="103"/>
      <c r="X1209" s="103"/>
      <c r="Y1209" s="103"/>
      <c r="Z1209" s="103"/>
      <c r="AA1209" s="103"/>
      <c r="AB1209" s="103"/>
      <c r="AC1209" s="103"/>
      <c r="AD1209" s="103"/>
      <c r="AE1209" s="103"/>
      <c r="AF1209" s="103"/>
      <c r="AG1209" s="103">
        <v>672</v>
      </c>
      <c r="AH1209" s="103"/>
      <c r="AI1209" s="103"/>
      <c r="AJ1209" s="103"/>
      <c r="AK1209" s="103"/>
      <c r="AL1209" s="103"/>
      <c r="AM1209" s="103"/>
      <c r="AN1209" s="103"/>
      <c r="AO1209" s="103"/>
      <c r="AP1209" s="103"/>
      <c r="AQ1209" s="103"/>
      <c r="AR1209" s="103"/>
      <c r="AS1209" s="103">
        <v>672</v>
      </c>
      <c r="AT1209" s="103"/>
      <c r="AU1209" s="103"/>
      <c r="AV1209" s="103"/>
      <c r="AW1209" s="104" t="str">
        <f>HYPERLINK("http://www.openstreetmap.org/?mlat=36.3275&amp;mlon=43.1029&amp;zoom=12#map=12/36.3275/43.1029","Maplink1")</f>
        <v>Maplink1</v>
      </c>
      <c r="AX1209" s="104" t="str">
        <f>HYPERLINK("https://www.google.iq/maps/search/+36.3275,43.1029/@36.3275,43.1029,14z?hl=en","Maplink2")</f>
        <v>Maplink2</v>
      </c>
      <c r="AY1209" s="104" t="str">
        <f>HYPERLINK("http://www.bing.com/maps/?lvl=14&amp;sty=h&amp;cp=36.3275~43.1029&amp;sp=point.36.3275_43.1029","Maplink3")</f>
        <v>Maplink3</v>
      </c>
    </row>
    <row r="1210" spans="1:51" x14ac:dyDescent="0.2">
      <c r="A1210" s="102">
        <v>18249</v>
      </c>
      <c r="B1210" s="103" t="s">
        <v>35</v>
      </c>
      <c r="C1210" s="103" t="s">
        <v>102</v>
      </c>
      <c r="D1210" s="103" t="s">
        <v>2561</v>
      </c>
      <c r="E1210" s="103" t="s">
        <v>2562</v>
      </c>
      <c r="F1210" s="103">
        <v>36.337206999999999</v>
      </c>
      <c r="G1210" s="103">
        <v>43.118989966800001</v>
      </c>
      <c r="H1210" s="102">
        <v>250</v>
      </c>
      <c r="I1210" s="102">
        <v>1500</v>
      </c>
      <c r="J1210" s="103"/>
      <c r="K1210" s="103"/>
      <c r="L1210" s="103"/>
      <c r="M1210" s="103">
        <v>100</v>
      </c>
      <c r="N1210" s="103">
        <v>150</v>
      </c>
      <c r="O1210" s="103"/>
      <c r="P1210" s="103"/>
      <c r="Q1210" s="103"/>
      <c r="R1210" s="103"/>
      <c r="S1210" s="103"/>
      <c r="T1210" s="103"/>
      <c r="U1210" s="103"/>
      <c r="V1210" s="103"/>
      <c r="W1210" s="103"/>
      <c r="X1210" s="103"/>
      <c r="Y1210" s="103"/>
      <c r="Z1210" s="103"/>
      <c r="AA1210" s="103"/>
      <c r="AB1210" s="103"/>
      <c r="AC1210" s="103"/>
      <c r="AD1210" s="103"/>
      <c r="AE1210" s="103"/>
      <c r="AF1210" s="103"/>
      <c r="AG1210" s="103">
        <v>250</v>
      </c>
      <c r="AH1210" s="103"/>
      <c r="AI1210" s="103"/>
      <c r="AJ1210" s="103"/>
      <c r="AK1210" s="103"/>
      <c r="AL1210" s="103"/>
      <c r="AM1210" s="103"/>
      <c r="AN1210" s="103"/>
      <c r="AO1210" s="103"/>
      <c r="AP1210" s="103"/>
      <c r="AQ1210" s="103"/>
      <c r="AR1210" s="103"/>
      <c r="AS1210" s="103">
        <v>250</v>
      </c>
      <c r="AT1210" s="103"/>
      <c r="AU1210" s="103"/>
      <c r="AV1210" s="103"/>
      <c r="AW1210" s="104" t="str">
        <f>HYPERLINK("http://www.openstreetmap.org/?mlat=36.3372&amp;mlon=43.119&amp;zoom=12#map=12/36.3372/43.119","Maplink1")</f>
        <v>Maplink1</v>
      </c>
      <c r="AX1210" s="104" t="str">
        <f>HYPERLINK("https://www.google.iq/maps/search/+36.3372,43.119/@36.3372,43.119,14z?hl=en","Maplink2")</f>
        <v>Maplink2</v>
      </c>
      <c r="AY1210" s="104" t="str">
        <f>HYPERLINK("http://www.bing.com/maps/?lvl=14&amp;sty=h&amp;cp=36.3372~43.119&amp;sp=point.36.3372_43.119","Maplink3")</f>
        <v>Maplink3</v>
      </c>
    </row>
    <row r="1211" spans="1:51" x14ac:dyDescent="0.2">
      <c r="A1211" s="102">
        <v>33769</v>
      </c>
      <c r="B1211" s="103" t="s">
        <v>35</v>
      </c>
      <c r="C1211" s="103" t="s">
        <v>102</v>
      </c>
      <c r="D1211" s="103" t="s">
        <v>2563</v>
      </c>
      <c r="E1211" s="103" t="s">
        <v>2564</v>
      </c>
      <c r="F1211" s="103">
        <v>36.387160000000002</v>
      </c>
      <c r="G1211" s="103">
        <v>43.034866000000001</v>
      </c>
      <c r="H1211" s="102">
        <v>281</v>
      </c>
      <c r="I1211" s="102">
        <v>1686</v>
      </c>
      <c r="J1211" s="103"/>
      <c r="K1211" s="103"/>
      <c r="L1211" s="103"/>
      <c r="M1211" s="103">
        <v>261</v>
      </c>
      <c r="N1211" s="103">
        <v>20</v>
      </c>
      <c r="O1211" s="103"/>
      <c r="P1211" s="103"/>
      <c r="Q1211" s="103"/>
      <c r="R1211" s="103"/>
      <c r="S1211" s="103"/>
      <c r="T1211" s="103"/>
      <c r="U1211" s="103"/>
      <c r="V1211" s="103"/>
      <c r="W1211" s="103"/>
      <c r="X1211" s="103"/>
      <c r="Y1211" s="103"/>
      <c r="Z1211" s="103"/>
      <c r="AA1211" s="103"/>
      <c r="AB1211" s="103"/>
      <c r="AC1211" s="103"/>
      <c r="AD1211" s="103"/>
      <c r="AE1211" s="103"/>
      <c r="AF1211" s="103"/>
      <c r="AG1211" s="103">
        <v>281</v>
      </c>
      <c r="AH1211" s="103"/>
      <c r="AI1211" s="103"/>
      <c r="AJ1211" s="103"/>
      <c r="AK1211" s="103"/>
      <c r="AL1211" s="103"/>
      <c r="AM1211" s="103"/>
      <c r="AN1211" s="103"/>
      <c r="AO1211" s="103"/>
      <c r="AP1211" s="103"/>
      <c r="AQ1211" s="103"/>
      <c r="AR1211" s="103"/>
      <c r="AS1211" s="103">
        <v>281</v>
      </c>
      <c r="AT1211" s="103"/>
      <c r="AU1211" s="103"/>
      <c r="AV1211" s="103"/>
      <c r="AW1211" s="104" t="str">
        <f>HYPERLINK("http://www.openstreetmap.org/?mlat=36.3872&amp;mlon=43.0349&amp;zoom=12#map=12/36.3872/43.0349","Maplink1")</f>
        <v>Maplink1</v>
      </c>
      <c r="AX1211" s="104" t="str">
        <f>HYPERLINK("https://www.google.iq/maps/search/+36.3872,43.0349/@36.3872,43.0349,14z?hl=en","Maplink2")</f>
        <v>Maplink2</v>
      </c>
      <c r="AY1211" s="104" t="str">
        <f>HYPERLINK("http://www.bing.com/maps/?lvl=14&amp;sty=h&amp;cp=36.3872~43.0349&amp;sp=point.36.3872_43.0349","Maplink3")</f>
        <v>Maplink3</v>
      </c>
    </row>
    <row r="1212" spans="1:51" x14ac:dyDescent="0.2">
      <c r="A1212" s="102">
        <v>34098</v>
      </c>
      <c r="B1212" s="103" t="s">
        <v>35</v>
      </c>
      <c r="C1212" s="103" t="s">
        <v>102</v>
      </c>
      <c r="D1212" s="103" t="s">
        <v>3987</v>
      </c>
      <c r="E1212" s="103" t="s">
        <v>3988</v>
      </c>
      <c r="F1212" s="103">
        <v>35.845757999999996</v>
      </c>
      <c r="G1212" s="103">
        <v>43.200609999999998</v>
      </c>
      <c r="H1212" s="102">
        <v>15</v>
      </c>
      <c r="I1212" s="102">
        <v>90</v>
      </c>
      <c r="J1212" s="103"/>
      <c r="K1212" s="103"/>
      <c r="L1212" s="103"/>
      <c r="M1212" s="103">
        <v>15</v>
      </c>
      <c r="N1212" s="103"/>
      <c r="O1212" s="103"/>
      <c r="P1212" s="103"/>
      <c r="Q1212" s="103"/>
      <c r="R1212" s="103"/>
      <c r="S1212" s="103"/>
      <c r="T1212" s="103"/>
      <c r="U1212" s="103"/>
      <c r="V1212" s="103"/>
      <c r="W1212" s="103"/>
      <c r="X1212" s="103"/>
      <c r="Y1212" s="103"/>
      <c r="Z1212" s="103"/>
      <c r="AA1212" s="103">
        <v>15</v>
      </c>
      <c r="AB1212" s="103"/>
      <c r="AC1212" s="103"/>
      <c r="AD1212" s="103"/>
      <c r="AE1212" s="103"/>
      <c r="AF1212" s="103"/>
      <c r="AG1212" s="103"/>
      <c r="AH1212" s="103"/>
      <c r="AI1212" s="103"/>
      <c r="AJ1212" s="103"/>
      <c r="AK1212" s="103"/>
      <c r="AL1212" s="103"/>
      <c r="AM1212" s="103"/>
      <c r="AN1212" s="103"/>
      <c r="AO1212" s="103"/>
      <c r="AP1212" s="103"/>
      <c r="AQ1212" s="103"/>
      <c r="AR1212" s="103"/>
      <c r="AS1212" s="103">
        <v>15</v>
      </c>
      <c r="AT1212" s="103"/>
      <c r="AU1212" s="103"/>
      <c r="AV1212" s="103"/>
      <c r="AW1212" s="104" t="str">
        <f>HYPERLINK("http://www.openstreetmap.org/?mlat=35.8458&amp;mlon=43.2006&amp;zoom=12#map=12/35.8458/43.2006","Maplink1")</f>
        <v>Maplink1</v>
      </c>
      <c r="AX1212" s="104" t="str">
        <f>HYPERLINK("https://www.google.iq/maps/search/+35.8458,43.2006/@35.8458,43.2006,14z?hl=en","Maplink2")</f>
        <v>Maplink2</v>
      </c>
      <c r="AY1212" s="104" t="str">
        <f>HYPERLINK("http://www.bing.com/maps/?lvl=14&amp;sty=h&amp;cp=35.8458~43.2006&amp;sp=point.35.8458_43.2006","Maplink3")</f>
        <v>Maplink3</v>
      </c>
    </row>
    <row r="1213" spans="1:51" x14ac:dyDescent="0.2">
      <c r="A1213" s="102">
        <v>33364</v>
      </c>
      <c r="B1213" s="103" t="s">
        <v>35</v>
      </c>
      <c r="C1213" s="103" t="s">
        <v>102</v>
      </c>
      <c r="D1213" s="103" t="s">
        <v>2595</v>
      </c>
      <c r="E1213" s="103" t="s">
        <v>2596</v>
      </c>
      <c r="F1213" s="103">
        <v>36.279941780000001</v>
      </c>
      <c r="G1213" s="103">
        <v>42.9896952</v>
      </c>
      <c r="H1213" s="102">
        <v>130</v>
      </c>
      <c r="I1213" s="102">
        <v>780</v>
      </c>
      <c r="J1213" s="103"/>
      <c r="K1213" s="103"/>
      <c r="L1213" s="103"/>
      <c r="M1213" s="103">
        <v>108</v>
      </c>
      <c r="N1213" s="103">
        <v>22</v>
      </c>
      <c r="O1213" s="103"/>
      <c r="P1213" s="103"/>
      <c r="Q1213" s="103"/>
      <c r="R1213" s="103"/>
      <c r="S1213" s="103"/>
      <c r="T1213" s="103"/>
      <c r="U1213" s="103"/>
      <c r="V1213" s="103"/>
      <c r="W1213" s="103"/>
      <c r="X1213" s="103"/>
      <c r="Y1213" s="103"/>
      <c r="Z1213" s="103"/>
      <c r="AA1213" s="103"/>
      <c r="AB1213" s="103"/>
      <c r="AC1213" s="103"/>
      <c r="AD1213" s="103"/>
      <c r="AE1213" s="103"/>
      <c r="AF1213" s="103"/>
      <c r="AG1213" s="103">
        <v>130</v>
      </c>
      <c r="AH1213" s="103"/>
      <c r="AI1213" s="103"/>
      <c r="AJ1213" s="103"/>
      <c r="AK1213" s="103"/>
      <c r="AL1213" s="103"/>
      <c r="AM1213" s="103"/>
      <c r="AN1213" s="103"/>
      <c r="AO1213" s="103"/>
      <c r="AP1213" s="103"/>
      <c r="AQ1213" s="103"/>
      <c r="AR1213" s="103"/>
      <c r="AS1213" s="103">
        <v>130</v>
      </c>
      <c r="AT1213" s="103"/>
      <c r="AU1213" s="103"/>
      <c r="AV1213" s="103"/>
      <c r="AW1213" s="104" t="str">
        <f>HYPERLINK("http://www.openstreetmap.org/?mlat=36.2799&amp;mlon=42.9897&amp;zoom=12#map=12/36.2799/42.9897","Maplink1")</f>
        <v>Maplink1</v>
      </c>
      <c r="AX1213" s="104" t="str">
        <f>HYPERLINK("https://www.google.iq/maps/search/+36.2799,42.9897/@36.2799,42.9897,14z?hl=en","Maplink2")</f>
        <v>Maplink2</v>
      </c>
      <c r="AY1213" s="104" t="str">
        <f>HYPERLINK("http://www.bing.com/maps/?lvl=14&amp;sty=h&amp;cp=36.2799~42.9897&amp;sp=point.36.2799_42.9897","Maplink3")</f>
        <v>Maplink3</v>
      </c>
    </row>
    <row r="1214" spans="1:51" x14ac:dyDescent="0.2">
      <c r="A1214" s="102">
        <v>18321</v>
      </c>
      <c r="B1214" s="103" t="s">
        <v>35</v>
      </c>
      <c r="C1214" s="103" t="s">
        <v>102</v>
      </c>
      <c r="D1214" s="103" t="s">
        <v>2597</v>
      </c>
      <c r="E1214" s="103" t="s">
        <v>2598</v>
      </c>
      <c r="F1214" s="103">
        <v>36.342420737700003</v>
      </c>
      <c r="G1214" s="103">
        <v>43.159211044099997</v>
      </c>
      <c r="H1214" s="102">
        <v>92</v>
      </c>
      <c r="I1214" s="102">
        <v>552</v>
      </c>
      <c r="J1214" s="103"/>
      <c r="K1214" s="103"/>
      <c r="L1214" s="103"/>
      <c r="M1214" s="103">
        <v>92</v>
      </c>
      <c r="N1214" s="103"/>
      <c r="O1214" s="103"/>
      <c r="P1214" s="103"/>
      <c r="Q1214" s="103"/>
      <c r="R1214" s="103"/>
      <c r="S1214" s="103"/>
      <c r="T1214" s="103"/>
      <c r="U1214" s="103"/>
      <c r="V1214" s="103"/>
      <c r="W1214" s="103">
        <v>3</v>
      </c>
      <c r="X1214" s="103"/>
      <c r="Y1214" s="103">
        <v>4</v>
      </c>
      <c r="Z1214" s="103"/>
      <c r="AA1214" s="103">
        <v>5</v>
      </c>
      <c r="AB1214" s="103"/>
      <c r="AC1214" s="103"/>
      <c r="AD1214" s="103"/>
      <c r="AE1214" s="103"/>
      <c r="AF1214" s="103"/>
      <c r="AG1214" s="103">
        <v>80</v>
      </c>
      <c r="AH1214" s="103"/>
      <c r="AI1214" s="103"/>
      <c r="AJ1214" s="103"/>
      <c r="AK1214" s="103"/>
      <c r="AL1214" s="103"/>
      <c r="AM1214" s="103"/>
      <c r="AN1214" s="103">
        <v>12</v>
      </c>
      <c r="AO1214" s="103"/>
      <c r="AP1214" s="103"/>
      <c r="AQ1214" s="103"/>
      <c r="AR1214" s="103"/>
      <c r="AS1214" s="103">
        <v>80</v>
      </c>
      <c r="AT1214" s="103"/>
      <c r="AU1214" s="103"/>
      <c r="AV1214" s="103"/>
      <c r="AW1214" s="104" t="str">
        <f>HYPERLINK("http://www.openstreetmap.org/?mlat=36.3424&amp;mlon=43.1592&amp;zoom=12#map=12/36.3424/43.1592","Maplink1")</f>
        <v>Maplink1</v>
      </c>
      <c r="AX1214" s="104" t="str">
        <f>HYPERLINK("https://www.google.iq/maps/search/+36.3424,43.1592/@36.3424,43.1592,14z?hl=en","Maplink2")</f>
        <v>Maplink2</v>
      </c>
      <c r="AY1214" s="104" t="str">
        <f>HYPERLINK("http://www.bing.com/maps/?lvl=14&amp;sty=h&amp;cp=36.3424~43.1592&amp;sp=point.36.3424_43.1592","Maplink3")</f>
        <v>Maplink3</v>
      </c>
    </row>
    <row r="1215" spans="1:51" x14ac:dyDescent="0.2">
      <c r="A1215" s="102">
        <v>33491</v>
      </c>
      <c r="B1215" s="103" t="s">
        <v>35</v>
      </c>
      <c r="C1215" s="103" t="s">
        <v>102</v>
      </c>
      <c r="D1215" s="103" t="s">
        <v>2599</v>
      </c>
      <c r="E1215" s="103" t="s">
        <v>2600</v>
      </c>
      <c r="F1215" s="103">
        <v>35.790581000000003</v>
      </c>
      <c r="G1215" s="103">
        <v>43.217754419899997</v>
      </c>
      <c r="H1215" s="102">
        <v>25</v>
      </c>
      <c r="I1215" s="102">
        <v>150</v>
      </c>
      <c r="J1215" s="103"/>
      <c r="K1215" s="103"/>
      <c r="L1215" s="103"/>
      <c r="M1215" s="103">
        <v>25</v>
      </c>
      <c r="N1215" s="103"/>
      <c r="O1215" s="103"/>
      <c r="P1215" s="103"/>
      <c r="Q1215" s="103"/>
      <c r="R1215" s="103"/>
      <c r="S1215" s="103"/>
      <c r="T1215" s="103"/>
      <c r="U1215" s="103"/>
      <c r="V1215" s="103"/>
      <c r="W1215" s="103"/>
      <c r="X1215" s="103"/>
      <c r="Y1215" s="103"/>
      <c r="Z1215" s="103"/>
      <c r="AA1215" s="103">
        <v>15</v>
      </c>
      <c r="AB1215" s="103"/>
      <c r="AC1215" s="103">
        <v>10</v>
      </c>
      <c r="AD1215" s="103"/>
      <c r="AE1215" s="103"/>
      <c r="AF1215" s="103"/>
      <c r="AG1215" s="103"/>
      <c r="AH1215" s="103"/>
      <c r="AI1215" s="103"/>
      <c r="AJ1215" s="103"/>
      <c r="AK1215" s="103"/>
      <c r="AL1215" s="103"/>
      <c r="AM1215" s="103"/>
      <c r="AN1215" s="103"/>
      <c r="AO1215" s="103"/>
      <c r="AP1215" s="103"/>
      <c r="AQ1215" s="103"/>
      <c r="AR1215" s="103"/>
      <c r="AS1215" s="103">
        <v>25</v>
      </c>
      <c r="AT1215" s="103"/>
      <c r="AU1215" s="103"/>
      <c r="AV1215" s="103"/>
      <c r="AW1215" s="104" t="str">
        <f>HYPERLINK("http://www.openstreetmap.org/?mlat=35.7906&amp;mlon=43.2178&amp;zoom=12#map=12/35.7906/43.2178","Maplink1")</f>
        <v>Maplink1</v>
      </c>
      <c r="AX1215" s="104" t="str">
        <f>HYPERLINK("https://www.google.iq/maps/search/+35.7906,43.2178/@35.7906,43.2178,14z?hl=en","Maplink2")</f>
        <v>Maplink2</v>
      </c>
      <c r="AY1215" s="104" t="str">
        <f>HYPERLINK("http://www.bing.com/maps/?lvl=14&amp;sty=h&amp;cp=35.7906~43.2178&amp;sp=point.35.7906_43.2178","Maplink3")</f>
        <v>Maplink3</v>
      </c>
    </row>
    <row r="1216" spans="1:51" x14ac:dyDescent="0.2">
      <c r="A1216" s="102">
        <v>33495</v>
      </c>
      <c r="B1216" s="103" t="s">
        <v>35</v>
      </c>
      <c r="C1216" s="103" t="s">
        <v>102</v>
      </c>
      <c r="D1216" s="103" t="s">
        <v>2601</v>
      </c>
      <c r="E1216" s="103" t="s">
        <v>2602</v>
      </c>
      <c r="F1216" s="103">
        <v>35.670354000000003</v>
      </c>
      <c r="G1216" s="103">
        <v>43.168534532899997</v>
      </c>
      <c r="H1216" s="102">
        <v>15</v>
      </c>
      <c r="I1216" s="102">
        <v>90</v>
      </c>
      <c r="J1216" s="103"/>
      <c r="K1216" s="103"/>
      <c r="L1216" s="103"/>
      <c r="M1216" s="103">
        <v>15</v>
      </c>
      <c r="N1216" s="103"/>
      <c r="O1216" s="103"/>
      <c r="P1216" s="103"/>
      <c r="Q1216" s="103"/>
      <c r="R1216" s="103"/>
      <c r="S1216" s="103"/>
      <c r="T1216" s="103"/>
      <c r="U1216" s="103"/>
      <c r="V1216" s="103"/>
      <c r="W1216" s="103"/>
      <c r="X1216" s="103"/>
      <c r="Y1216" s="103"/>
      <c r="Z1216" s="103"/>
      <c r="AA1216" s="103"/>
      <c r="AB1216" s="103"/>
      <c r="AC1216" s="103"/>
      <c r="AD1216" s="103"/>
      <c r="AE1216" s="103"/>
      <c r="AF1216" s="103"/>
      <c r="AG1216" s="103"/>
      <c r="AH1216" s="103"/>
      <c r="AI1216" s="103">
        <v>15</v>
      </c>
      <c r="AJ1216" s="103"/>
      <c r="AK1216" s="103"/>
      <c r="AL1216" s="103"/>
      <c r="AM1216" s="103"/>
      <c r="AN1216" s="103"/>
      <c r="AO1216" s="103"/>
      <c r="AP1216" s="103"/>
      <c r="AQ1216" s="103"/>
      <c r="AR1216" s="103">
        <v>15</v>
      </c>
      <c r="AS1216" s="103"/>
      <c r="AT1216" s="103"/>
      <c r="AU1216" s="103"/>
      <c r="AV1216" s="103"/>
      <c r="AW1216" s="104" t="str">
        <f>HYPERLINK("http://www.openstreetmap.org/?mlat=35.6704&amp;mlon=43.1685&amp;zoom=12#map=12/35.6704/43.1685","Maplink1")</f>
        <v>Maplink1</v>
      </c>
      <c r="AX1216" s="104" t="str">
        <f>HYPERLINK("https://www.google.iq/maps/search/+35.6704,43.1685/@35.6704,43.1685,14z?hl=en","Maplink2")</f>
        <v>Maplink2</v>
      </c>
      <c r="AY1216" s="104" t="str">
        <f>HYPERLINK("http://www.bing.com/maps/?lvl=14&amp;sty=h&amp;cp=35.6704~43.1685&amp;sp=point.35.6704_43.1685","Maplink3")</f>
        <v>Maplink3</v>
      </c>
    </row>
    <row r="1217" spans="1:51" x14ac:dyDescent="0.2">
      <c r="A1217" s="102">
        <v>33697</v>
      </c>
      <c r="B1217" s="103" t="s">
        <v>35</v>
      </c>
      <c r="C1217" s="103" t="s">
        <v>102</v>
      </c>
      <c r="D1217" s="103" t="s">
        <v>2603</v>
      </c>
      <c r="E1217" s="103" t="s">
        <v>2604</v>
      </c>
      <c r="F1217" s="103">
        <v>36.341617999999997</v>
      </c>
      <c r="G1217" s="103">
        <v>43.132226289499997</v>
      </c>
      <c r="H1217" s="102">
        <v>99</v>
      </c>
      <c r="I1217" s="102">
        <v>594</v>
      </c>
      <c r="J1217" s="103"/>
      <c r="K1217" s="103"/>
      <c r="L1217" s="103"/>
      <c r="M1217" s="103">
        <v>61</v>
      </c>
      <c r="N1217" s="103">
        <v>38</v>
      </c>
      <c r="O1217" s="103"/>
      <c r="P1217" s="103"/>
      <c r="Q1217" s="103"/>
      <c r="R1217" s="103"/>
      <c r="S1217" s="103"/>
      <c r="T1217" s="103"/>
      <c r="U1217" s="103"/>
      <c r="V1217" s="103"/>
      <c r="W1217" s="103"/>
      <c r="X1217" s="103"/>
      <c r="Y1217" s="103"/>
      <c r="Z1217" s="103"/>
      <c r="AA1217" s="103"/>
      <c r="AB1217" s="103"/>
      <c r="AC1217" s="103"/>
      <c r="AD1217" s="103"/>
      <c r="AE1217" s="103"/>
      <c r="AF1217" s="103"/>
      <c r="AG1217" s="103">
        <v>99</v>
      </c>
      <c r="AH1217" s="103"/>
      <c r="AI1217" s="103"/>
      <c r="AJ1217" s="103"/>
      <c r="AK1217" s="103"/>
      <c r="AL1217" s="103"/>
      <c r="AM1217" s="103"/>
      <c r="AN1217" s="103"/>
      <c r="AO1217" s="103"/>
      <c r="AP1217" s="103"/>
      <c r="AQ1217" s="103"/>
      <c r="AR1217" s="103"/>
      <c r="AS1217" s="103">
        <v>99</v>
      </c>
      <c r="AT1217" s="103"/>
      <c r="AU1217" s="103"/>
      <c r="AV1217" s="103"/>
      <c r="AW1217" s="104" t="str">
        <f>HYPERLINK("http://www.openstreetmap.org/?mlat=36.3416&amp;mlon=43.1322&amp;zoom=12#map=12/36.3416/43.1322","Maplink1")</f>
        <v>Maplink1</v>
      </c>
      <c r="AX1217" s="104" t="str">
        <f>HYPERLINK("https://www.google.iq/maps/search/+36.3416,43.1322/@36.3416,43.1322,14z?hl=en","Maplink2")</f>
        <v>Maplink2</v>
      </c>
      <c r="AY1217" s="104" t="str">
        <f>HYPERLINK("http://www.bing.com/maps/?lvl=14&amp;sty=h&amp;cp=36.3416~43.1322&amp;sp=point.36.3416_43.1322","Maplink3")</f>
        <v>Maplink3</v>
      </c>
    </row>
    <row r="1218" spans="1:51" x14ac:dyDescent="0.2">
      <c r="A1218" s="102">
        <v>22802</v>
      </c>
      <c r="B1218" s="103" t="s">
        <v>35</v>
      </c>
      <c r="C1218" s="103" t="s">
        <v>102</v>
      </c>
      <c r="D1218" s="103" t="s">
        <v>2605</v>
      </c>
      <c r="E1218" s="103" t="s">
        <v>2606</v>
      </c>
      <c r="F1218" s="103">
        <v>36.230981999999997</v>
      </c>
      <c r="G1218" s="103">
        <v>43.303555000000003</v>
      </c>
      <c r="H1218" s="102">
        <v>8</v>
      </c>
      <c r="I1218" s="102">
        <v>48</v>
      </c>
      <c r="J1218" s="103"/>
      <c r="K1218" s="103"/>
      <c r="L1218" s="103"/>
      <c r="M1218" s="103">
        <v>8</v>
      </c>
      <c r="N1218" s="103"/>
      <c r="O1218" s="103"/>
      <c r="P1218" s="103"/>
      <c r="Q1218" s="103"/>
      <c r="R1218" s="103"/>
      <c r="S1218" s="103"/>
      <c r="T1218" s="103"/>
      <c r="U1218" s="103"/>
      <c r="V1218" s="103"/>
      <c r="W1218" s="103"/>
      <c r="X1218" s="103"/>
      <c r="Y1218" s="103"/>
      <c r="Z1218" s="103"/>
      <c r="AA1218" s="103">
        <v>8</v>
      </c>
      <c r="AB1218" s="103"/>
      <c r="AC1218" s="103"/>
      <c r="AD1218" s="103"/>
      <c r="AE1218" s="103"/>
      <c r="AF1218" s="103"/>
      <c r="AG1218" s="103"/>
      <c r="AH1218" s="103"/>
      <c r="AI1218" s="103"/>
      <c r="AJ1218" s="103"/>
      <c r="AK1218" s="103"/>
      <c r="AL1218" s="103"/>
      <c r="AM1218" s="103"/>
      <c r="AN1218" s="103"/>
      <c r="AO1218" s="103">
        <v>8</v>
      </c>
      <c r="AP1218" s="103"/>
      <c r="AQ1218" s="103"/>
      <c r="AR1218" s="103"/>
      <c r="AS1218" s="103"/>
      <c r="AT1218" s="103"/>
      <c r="AU1218" s="103"/>
      <c r="AV1218" s="103"/>
      <c r="AW1218" s="104" t="str">
        <f>HYPERLINK("http://www.openstreetmap.org/?mlat=36.231&amp;mlon=43.3036&amp;zoom=12#map=12/36.231/43.3036","Maplink1")</f>
        <v>Maplink1</v>
      </c>
      <c r="AX1218" s="104" t="str">
        <f>HYPERLINK("https://www.google.iq/maps/search/+36.231,43.3036/@36.231,43.3036,14z?hl=en","Maplink2")</f>
        <v>Maplink2</v>
      </c>
      <c r="AY1218" s="104" t="str">
        <f>HYPERLINK("http://www.bing.com/maps/?lvl=14&amp;sty=h&amp;cp=36.231~43.3036&amp;sp=point.36.231_43.3036","Maplink3")</f>
        <v>Maplink3</v>
      </c>
    </row>
    <row r="1219" spans="1:51" x14ac:dyDescent="0.2">
      <c r="A1219" s="102">
        <v>33746</v>
      </c>
      <c r="B1219" s="103" t="s">
        <v>35</v>
      </c>
      <c r="C1219" s="103" t="s">
        <v>102</v>
      </c>
      <c r="D1219" s="103" t="s">
        <v>2607</v>
      </c>
      <c r="E1219" s="103" t="s">
        <v>2608</v>
      </c>
      <c r="F1219" s="103">
        <v>36.040717000000001</v>
      </c>
      <c r="G1219" s="103">
        <v>43.086489</v>
      </c>
      <c r="H1219" s="102">
        <v>3</v>
      </c>
      <c r="I1219" s="102">
        <v>18</v>
      </c>
      <c r="J1219" s="103"/>
      <c r="K1219" s="103"/>
      <c r="L1219" s="103"/>
      <c r="M1219" s="103">
        <v>3</v>
      </c>
      <c r="N1219" s="103"/>
      <c r="O1219" s="103"/>
      <c r="P1219" s="103"/>
      <c r="Q1219" s="103"/>
      <c r="R1219" s="103"/>
      <c r="S1219" s="103"/>
      <c r="T1219" s="103"/>
      <c r="U1219" s="103"/>
      <c r="V1219" s="103"/>
      <c r="W1219" s="103"/>
      <c r="X1219" s="103"/>
      <c r="Y1219" s="103"/>
      <c r="Z1219" s="103"/>
      <c r="AA1219" s="103"/>
      <c r="AB1219" s="103"/>
      <c r="AC1219" s="103"/>
      <c r="AD1219" s="103"/>
      <c r="AE1219" s="103"/>
      <c r="AF1219" s="103"/>
      <c r="AG1219" s="103">
        <v>3</v>
      </c>
      <c r="AH1219" s="103"/>
      <c r="AI1219" s="103"/>
      <c r="AJ1219" s="103"/>
      <c r="AK1219" s="103"/>
      <c r="AL1219" s="103"/>
      <c r="AM1219" s="103"/>
      <c r="AN1219" s="103"/>
      <c r="AO1219" s="103"/>
      <c r="AP1219" s="103"/>
      <c r="AQ1219" s="103"/>
      <c r="AR1219" s="103"/>
      <c r="AS1219" s="103">
        <v>3</v>
      </c>
      <c r="AT1219" s="103"/>
      <c r="AU1219" s="103"/>
      <c r="AV1219" s="103"/>
      <c r="AW1219" s="104" t="str">
        <f>HYPERLINK("http://www.openstreetmap.org/?mlat=36.0407&amp;mlon=43.0865&amp;zoom=12#map=12/36.0407/43.0865","Maplink1")</f>
        <v>Maplink1</v>
      </c>
      <c r="AX1219" s="104" t="str">
        <f>HYPERLINK("https://www.google.iq/maps/search/+36.0407,43.0865/@36.0407,43.0865,14z?hl=en","Maplink2")</f>
        <v>Maplink2</v>
      </c>
      <c r="AY1219" s="104" t="str">
        <f>HYPERLINK("http://www.bing.com/maps/?lvl=14&amp;sty=h&amp;cp=36.0407~43.0865&amp;sp=point.36.0407_43.0865","Maplink3")</f>
        <v>Maplink3</v>
      </c>
    </row>
    <row r="1220" spans="1:51" x14ac:dyDescent="0.2">
      <c r="A1220" s="102">
        <v>17957</v>
      </c>
      <c r="B1220" s="103" t="s">
        <v>35</v>
      </c>
      <c r="C1220" s="103" t="s">
        <v>102</v>
      </c>
      <c r="D1220" s="103" t="s">
        <v>2922</v>
      </c>
      <c r="E1220" s="103" t="s">
        <v>2923</v>
      </c>
      <c r="F1220" s="103">
        <v>36.160139999999998</v>
      </c>
      <c r="G1220" s="103">
        <v>42.701418535000002</v>
      </c>
      <c r="H1220" s="102">
        <v>150</v>
      </c>
      <c r="I1220" s="102">
        <v>900</v>
      </c>
      <c r="J1220" s="103"/>
      <c r="K1220" s="103"/>
      <c r="L1220" s="103"/>
      <c r="M1220" s="103">
        <v>131</v>
      </c>
      <c r="N1220" s="103">
        <v>19</v>
      </c>
      <c r="O1220" s="103"/>
      <c r="P1220" s="103"/>
      <c r="Q1220" s="103"/>
      <c r="R1220" s="103"/>
      <c r="S1220" s="103"/>
      <c r="T1220" s="103"/>
      <c r="U1220" s="103"/>
      <c r="V1220" s="103"/>
      <c r="W1220" s="103"/>
      <c r="X1220" s="103"/>
      <c r="Y1220" s="103"/>
      <c r="Z1220" s="103"/>
      <c r="AA1220" s="103"/>
      <c r="AB1220" s="103"/>
      <c r="AC1220" s="103"/>
      <c r="AD1220" s="103"/>
      <c r="AE1220" s="103"/>
      <c r="AF1220" s="103"/>
      <c r="AG1220" s="103">
        <v>150</v>
      </c>
      <c r="AH1220" s="103"/>
      <c r="AI1220" s="103"/>
      <c r="AJ1220" s="103"/>
      <c r="AK1220" s="103"/>
      <c r="AL1220" s="103"/>
      <c r="AM1220" s="103"/>
      <c r="AN1220" s="103"/>
      <c r="AO1220" s="103"/>
      <c r="AP1220" s="103"/>
      <c r="AQ1220" s="103"/>
      <c r="AR1220" s="103"/>
      <c r="AS1220" s="103">
        <v>150</v>
      </c>
      <c r="AT1220" s="103"/>
      <c r="AU1220" s="103"/>
      <c r="AV1220" s="103"/>
      <c r="AW1220" s="104" t="str">
        <f>HYPERLINK("http://www.openstreetmap.org/?mlat=36.1601&amp;mlon=42.7014&amp;zoom=12#map=12/36.1601/42.7014","Maplink1")</f>
        <v>Maplink1</v>
      </c>
      <c r="AX1220" s="104" t="str">
        <f>HYPERLINK("https://www.google.iq/maps/search/+36.1601,42.7014/@36.1601,42.7014,14z?hl=en","Maplink2")</f>
        <v>Maplink2</v>
      </c>
      <c r="AY1220" s="104" t="str">
        <f>HYPERLINK("http://www.bing.com/maps/?lvl=14&amp;sty=h&amp;cp=36.1601~42.7014&amp;sp=point.36.1601_42.7014","Maplink3")</f>
        <v>Maplink3</v>
      </c>
    </row>
    <row r="1221" spans="1:51" x14ac:dyDescent="0.2">
      <c r="A1221" s="102">
        <v>33272</v>
      </c>
      <c r="B1221" s="103" t="s">
        <v>35</v>
      </c>
      <c r="C1221" s="103" t="s">
        <v>102</v>
      </c>
      <c r="D1221" s="103" t="s">
        <v>2924</v>
      </c>
      <c r="E1221" s="103" t="s">
        <v>2925</v>
      </c>
      <c r="F1221" s="103">
        <v>36.43206</v>
      </c>
      <c r="G1221" s="103">
        <v>42.953962598099999</v>
      </c>
      <c r="H1221" s="102">
        <v>150</v>
      </c>
      <c r="I1221" s="102">
        <v>900</v>
      </c>
      <c r="J1221" s="103"/>
      <c r="K1221" s="103"/>
      <c r="L1221" s="103"/>
      <c r="M1221" s="103">
        <v>113</v>
      </c>
      <c r="N1221" s="103">
        <v>37</v>
      </c>
      <c r="O1221" s="103"/>
      <c r="P1221" s="103"/>
      <c r="Q1221" s="103"/>
      <c r="R1221" s="103"/>
      <c r="S1221" s="103"/>
      <c r="T1221" s="103"/>
      <c r="U1221" s="103"/>
      <c r="V1221" s="103"/>
      <c r="W1221" s="103"/>
      <c r="X1221" s="103"/>
      <c r="Y1221" s="103"/>
      <c r="Z1221" s="103"/>
      <c r="AA1221" s="103"/>
      <c r="AB1221" s="103"/>
      <c r="AC1221" s="103"/>
      <c r="AD1221" s="103"/>
      <c r="AE1221" s="103"/>
      <c r="AF1221" s="103"/>
      <c r="AG1221" s="103">
        <v>150</v>
      </c>
      <c r="AH1221" s="103"/>
      <c r="AI1221" s="103"/>
      <c r="AJ1221" s="103"/>
      <c r="AK1221" s="103"/>
      <c r="AL1221" s="103"/>
      <c r="AM1221" s="103"/>
      <c r="AN1221" s="103"/>
      <c r="AO1221" s="103"/>
      <c r="AP1221" s="103"/>
      <c r="AQ1221" s="103"/>
      <c r="AR1221" s="103"/>
      <c r="AS1221" s="103"/>
      <c r="AT1221" s="103">
        <v>150</v>
      </c>
      <c r="AU1221" s="103"/>
      <c r="AV1221" s="103"/>
      <c r="AW1221" s="104" t="str">
        <f>HYPERLINK("http://www.openstreetmap.org/?mlat=36.4321&amp;mlon=42.954&amp;zoom=12#map=12/36.4321/42.954","Maplink1")</f>
        <v>Maplink1</v>
      </c>
      <c r="AX1221" s="104" t="str">
        <f>HYPERLINK("https://www.google.iq/maps/search/+36.4321,42.954/@36.4321,42.954,14z?hl=en","Maplink2")</f>
        <v>Maplink2</v>
      </c>
      <c r="AY1221" s="104" t="str">
        <f>HYPERLINK("http://www.bing.com/maps/?lvl=14&amp;sty=h&amp;cp=36.4321~42.954&amp;sp=point.36.4321_42.954","Maplink3")</f>
        <v>Maplink3</v>
      </c>
    </row>
    <row r="1222" spans="1:51" x14ac:dyDescent="0.2">
      <c r="A1222" s="102">
        <v>33274</v>
      </c>
      <c r="B1222" s="103" t="s">
        <v>35</v>
      </c>
      <c r="C1222" s="103" t="s">
        <v>102</v>
      </c>
      <c r="D1222" s="103" t="s">
        <v>2926</v>
      </c>
      <c r="E1222" s="103" t="s">
        <v>2927</v>
      </c>
      <c r="F1222" s="103">
        <v>36.448540000000001</v>
      </c>
      <c r="G1222" s="103">
        <v>42.953203628099999</v>
      </c>
      <c r="H1222" s="102">
        <v>221</v>
      </c>
      <c r="I1222" s="102">
        <v>1326</v>
      </c>
      <c r="J1222" s="103"/>
      <c r="K1222" s="103"/>
      <c r="L1222" s="103"/>
      <c r="M1222" s="103">
        <v>209</v>
      </c>
      <c r="N1222" s="103">
        <v>12</v>
      </c>
      <c r="O1222" s="103"/>
      <c r="P1222" s="103"/>
      <c r="Q1222" s="103"/>
      <c r="R1222" s="103"/>
      <c r="S1222" s="103"/>
      <c r="T1222" s="103"/>
      <c r="U1222" s="103"/>
      <c r="V1222" s="103"/>
      <c r="W1222" s="103"/>
      <c r="X1222" s="103"/>
      <c r="Y1222" s="103"/>
      <c r="Z1222" s="103"/>
      <c r="AA1222" s="103"/>
      <c r="AB1222" s="103"/>
      <c r="AC1222" s="103"/>
      <c r="AD1222" s="103"/>
      <c r="AE1222" s="103"/>
      <c r="AF1222" s="103"/>
      <c r="AG1222" s="103">
        <v>221</v>
      </c>
      <c r="AH1222" s="103"/>
      <c r="AI1222" s="103"/>
      <c r="AJ1222" s="103"/>
      <c r="AK1222" s="103"/>
      <c r="AL1222" s="103"/>
      <c r="AM1222" s="103"/>
      <c r="AN1222" s="103"/>
      <c r="AO1222" s="103"/>
      <c r="AP1222" s="103"/>
      <c r="AQ1222" s="103"/>
      <c r="AR1222" s="103"/>
      <c r="AS1222" s="103"/>
      <c r="AT1222" s="103">
        <v>221</v>
      </c>
      <c r="AU1222" s="103"/>
      <c r="AV1222" s="103"/>
      <c r="AW1222" s="104" t="str">
        <f>HYPERLINK("http://www.openstreetmap.org/?mlat=36.4485&amp;mlon=42.9532&amp;zoom=12#map=12/36.4485/42.9532","Maplink1")</f>
        <v>Maplink1</v>
      </c>
      <c r="AX1222" s="104" t="str">
        <f>HYPERLINK("https://www.google.iq/maps/search/+36.4485,42.9532/@36.4485,42.9532,14z?hl=en","Maplink2")</f>
        <v>Maplink2</v>
      </c>
      <c r="AY1222" s="104" t="str">
        <f>HYPERLINK("http://www.bing.com/maps/?lvl=14&amp;sty=h&amp;cp=36.4485~42.9532&amp;sp=point.36.4485_42.9532","Maplink3")</f>
        <v>Maplink3</v>
      </c>
    </row>
    <row r="1223" spans="1:51" x14ac:dyDescent="0.2">
      <c r="A1223" s="102">
        <v>17784</v>
      </c>
      <c r="B1223" s="103" t="s">
        <v>35</v>
      </c>
      <c r="C1223" s="103" t="s">
        <v>102</v>
      </c>
      <c r="D1223" s="103" t="s">
        <v>2928</v>
      </c>
      <c r="E1223" s="103" t="s">
        <v>2929</v>
      </c>
      <c r="F1223" s="103">
        <v>36.392238999999996</v>
      </c>
      <c r="G1223" s="103">
        <v>43.000904283700002</v>
      </c>
      <c r="H1223" s="102">
        <v>60</v>
      </c>
      <c r="I1223" s="102">
        <v>360</v>
      </c>
      <c r="J1223" s="103"/>
      <c r="K1223" s="103"/>
      <c r="L1223" s="103"/>
      <c r="M1223" s="103">
        <v>50</v>
      </c>
      <c r="N1223" s="103">
        <v>10</v>
      </c>
      <c r="O1223" s="103"/>
      <c r="P1223" s="103"/>
      <c r="Q1223" s="103"/>
      <c r="R1223" s="103"/>
      <c r="S1223" s="103"/>
      <c r="T1223" s="103"/>
      <c r="U1223" s="103"/>
      <c r="V1223" s="103"/>
      <c r="W1223" s="103"/>
      <c r="X1223" s="103"/>
      <c r="Y1223" s="103"/>
      <c r="Z1223" s="103"/>
      <c r="AA1223" s="103"/>
      <c r="AB1223" s="103"/>
      <c r="AC1223" s="103"/>
      <c r="AD1223" s="103"/>
      <c r="AE1223" s="103"/>
      <c r="AF1223" s="103"/>
      <c r="AG1223" s="103">
        <v>60</v>
      </c>
      <c r="AH1223" s="103"/>
      <c r="AI1223" s="103"/>
      <c r="AJ1223" s="103"/>
      <c r="AK1223" s="103"/>
      <c r="AL1223" s="103"/>
      <c r="AM1223" s="103"/>
      <c r="AN1223" s="103"/>
      <c r="AO1223" s="103"/>
      <c r="AP1223" s="103"/>
      <c r="AQ1223" s="103"/>
      <c r="AR1223" s="103"/>
      <c r="AS1223" s="103">
        <v>60</v>
      </c>
      <c r="AT1223" s="103"/>
      <c r="AU1223" s="103"/>
      <c r="AV1223" s="103"/>
      <c r="AW1223" s="104" t="str">
        <f>HYPERLINK("http://www.openstreetmap.org/?mlat=36.3922&amp;mlon=43.0009&amp;zoom=12#map=12/36.3922/43.0009","Maplink1")</f>
        <v>Maplink1</v>
      </c>
      <c r="AX1223" s="104" t="str">
        <f>HYPERLINK("https://www.google.iq/maps/search/+36.3922,43.0009/@36.3922,43.0009,14z?hl=en","Maplink2")</f>
        <v>Maplink2</v>
      </c>
      <c r="AY1223" s="104" t="str">
        <f>HYPERLINK("http://www.bing.com/maps/?lvl=14&amp;sty=h&amp;cp=36.3922~43.0009&amp;sp=point.36.3922_43.0009","Maplink3")</f>
        <v>Maplink3</v>
      </c>
    </row>
    <row r="1224" spans="1:51" x14ac:dyDescent="0.2">
      <c r="A1224" s="102">
        <v>17457</v>
      </c>
      <c r="B1224" s="103" t="s">
        <v>35</v>
      </c>
      <c r="C1224" s="103" t="s">
        <v>102</v>
      </c>
      <c r="D1224" s="103" t="s">
        <v>2930</v>
      </c>
      <c r="E1224" s="103" t="s">
        <v>2931</v>
      </c>
      <c r="F1224" s="103">
        <v>36.101799999999997</v>
      </c>
      <c r="G1224" s="103">
        <v>42.828479999999999</v>
      </c>
      <c r="H1224" s="102">
        <v>40</v>
      </c>
      <c r="I1224" s="102">
        <v>240</v>
      </c>
      <c r="J1224" s="103"/>
      <c r="K1224" s="103"/>
      <c r="L1224" s="103"/>
      <c r="M1224" s="103">
        <v>30</v>
      </c>
      <c r="N1224" s="103">
        <v>10</v>
      </c>
      <c r="O1224" s="103"/>
      <c r="P1224" s="103"/>
      <c r="Q1224" s="103"/>
      <c r="R1224" s="103"/>
      <c r="S1224" s="103"/>
      <c r="T1224" s="103"/>
      <c r="U1224" s="103"/>
      <c r="V1224" s="103"/>
      <c r="W1224" s="103"/>
      <c r="X1224" s="103"/>
      <c r="Y1224" s="103"/>
      <c r="Z1224" s="103"/>
      <c r="AA1224" s="103"/>
      <c r="AB1224" s="103"/>
      <c r="AC1224" s="103"/>
      <c r="AD1224" s="103"/>
      <c r="AE1224" s="103"/>
      <c r="AF1224" s="103"/>
      <c r="AG1224" s="103">
        <v>40</v>
      </c>
      <c r="AH1224" s="103"/>
      <c r="AI1224" s="103"/>
      <c r="AJ1224" s="103"/>
      <c r="AK1224" s="103"/>
      <c r="AL1224" s="103"/>
      <c r="AM1224" s="103"/>
      <c r="AN1224" s="103"/>
      <c r="AO1224" s="103"/>
      <c r="AP1224" s="103"/>
      <c r="AQ1224" s="103"/>
      <c r="AR1224" s="103"/>
      <c r="AS1224" s="103">
        <v>40</v>
      </c>
      <c r="AT1224" s="103"/>
      <c r="AU1224" s="103"/>
      <c r="AV1224" s="103"/>
      <c r="AW1224" s="104" t="str">
        <f>HYPERLINK("http://www.openstreetmap.org/?mlat=36.1018&amp;mlon=42.8285&amp;zoom=12#map=12/36.1018/42.8285","Maplink1")</f>
        <v>Maplink1</v>
      </c>
      <c r="AX1224" s="104" t="str">
        <f>HYPERLINK("https://www.google.iq/maps/search/+36.1018,42.8285/@36.1018,42.8285,14z?hl=en","Maplink2")</f>
        <v>Maplink2</v>
      </c>
      <c r="AY1224" s="104" t="str">
        <f>HYPERLINK("http://www.bing.com/maps/?lvl=14&amp;sty=h&amp;cp=36.1018~42.8285&amp;sp=point.36.1018_42.8285","Maplink3")</f>
        <v>Maplink3</v>
      </c>
    </row>
    <row r="1225" spans="1:51" x14ac:dyDescent="0.2">
      <c r="A1225" s="102">
        <v>33198</v>
      </c>
      <c r="B1225" s="103" t="s">
        <v>35</v>
      </c>
      <c r="C1225" s="103" t="s">
        <v>102</v>
      </c>
      <c r="D1225" s="103" t="s">
        <v>2621</v>
      </c>
      <c r="E1225" s="103" t="s">
        <v>2622</v>
      </c>
      <c r="F1225" s="103">
        <v>35.997965999999998</v>
      </c>
      <c r="G1225" s="103">
        <v>42.781179999999999</v>
      </c>
      <c r="H1225" s="102">
        <v>40</v>
      </c>
      <c r="I1225" s="102">
        <v>240</v>
      </c>
      <c r="J1225" s="103"/>
      <c r="K1225" s="103"/>
      <c r="L1225" s="103"/>
      <c r="M1225" s="103">
        <v>40</v>
      </c>
      <c r="N1225" s="103"/>
      <c r="O1225" s="103"/>
      <c r="P1225" s="103"/>
      <c r="Q1225" s="103"/>
      <c r="R1225" s="103"/>
      <c r="S1225" s="103"/>
      <c r="T1225" s="103"/>
      <c r="U1225" s="103"/>
      <c r="V1225" s="103"/>
      <c r="W1225" s="103"/>
      <c r="X1225" s="103"/>
      <c r="Y1225" s="103"/>
      <c r="Z1225" s="103"/>
      <c r="AA1225" s="103"/>
      <c r="AB1225" s="103"/>
      <c r="AC1225" s="103"/>
      <c r="AD1225" s="103"/>
      <c r="AE1225" s="103"/>
      <c r="AF1225" s="103"/>
      <c r="AG1225" s="103">
        <v>40</v>
      </c>
      <c r="AH1225" s="103"/>
      <c r="AI1225" s="103"/>
      <c r="AJ1225" s="103"/>
      <c r="AK1225" s="103"/>
      <c r="AL1225" s="103"/>
      <c r="AM1225" s="103"/>
      <c r="AN1225" s="103"/>
      <c r="AO1225" s="103"/>
      <c r="AP1225" s="103"/>
      <c r="AQ1225" s="103"/>
      <c r="AR1225" s="103">
        <v>40</v>
      </c>
      <c r="AS1225" s="103"/>
      <c r="AT1225" s="103"/>
      <c r="AU1225" s="103"/>
      <c r="AV1225" s="103"/>
      <c r="AW1225" s="104" t="str">
        <f>HYPERLINK("http://www.openstreetmap.org/?mlat=35.998&amp;mlon=42.7812&amp;zoom=12#map=12/35.998/42.7812","Maplink1")</f>
        <v>Maplink1</v>
      </c>
      <c r="AX1225" s="104" t="str">
        <f>HYPERLINK("https://www.google.iq/maps/search/+35.998,42.7812/@35.998,42.7812,14z?hl=en","Maplink2")</f>
        <v>Maplink2</v>
      </c>
      <c r="AY1225" s="104" t="str">
        <f>HYPERLINK("http://www.bing.com/maps/?lvl=14&amp;sty=h&amp;cp=35.998~42.7812&amp;sp=point.35.998_42.7812","Maplink3")</f>
        <v>Maplink3</v>
      </c>
    </row>
    <row r="1226" spans="1:51" x14ac:dyDescent="0.2">
      <c r="A1226" s="102">
        <v>33256</v>
      </c>
      <c r="B1226" s="103" t="s">
        <v>35</v>
      </c>
      <c r="C1226" s="103" t="s">
        <v>102</v>
      </c>
      <c r="D1226" s="103" t="s">
        <v>2623</v>
      </c>
      <c r="E1226" s="103" t="s">
        <v>2624</v>
      </c>
      <c r="F1226" s="103">
        <v>36.356141098599998</v>
      </c>
      <c r="G1226" s="103">
        <v>43.087642360799997</v>
      </c>
      <c r="H1226" s="102">
        <v>1659</v>
      </c>
      <c r="I1226" s="102">
        <v>9954</v>
      </c>
      <c r="J1226" s="103"/>
      <c r="K1226" s="103"/>
      <c r="L1226" s="103"/>
      <c r="M1226" s="103">
        <v>1659</v>
      </c>
      <c r="N1226" s="103"/>
      <c r="O1226" s="103"/>
      <c r="P1226" s="103"/>
      <c r="Q1226" s="103"/>
      <c r="R1226" s="103"/>
      <c r="S1226" s="103"/>
      <c r="T1226" s="103"/>
      <c r="U1226" s="103"/>
      <c r="V1226" s="103"/>
      <c r="W1226" s="103"/>
      <c r="X1226" s="103"/>
      <c r="Y1226" s="103"/>
      <c r="Z1226" s="103"/>
      <c r="AA1226" s="103"/>
      <c r="AB1226" s="103"/>
      <c r="AC1226" s="103"/>
      <c r="AD1226" s="103"/>
      <c r="AE1226" s="103"/>
      <c r="AF1226" s="103"/>
      <c r="AG1226" s="103">
        <v>1659</v>
      </c>
      <c r="AH1226" s="103"/>
      <c r="AI1226" s="103"/>
      <c r="AJ1226" s="103"/>
      <c r="AK1226" s="103"/>
      <c r="AL1226" s="103"/>
      <c r="AM1226" s="103"/>
      <c r="AN1226" s="103"/>
      <c r="AO1226" s="103"/>
      <c r="AP1226" s="103"/>
      <c r="AQ1226" s="103"/>
      <c r="AR1226" s="103"/>
      <c r="AS1226" s="103">
        <v>1659</v>
      </c>
      <c r="AT1226" s="103"/>
      <c r="AU1226" s="103"/>
      <c r="AV1226" s="103"/>
      <c r="AW1226" s="104" t="str">
        <f>HYPERLINK("http://www.openstreetmap.org/?mlat=36.3561&amp;mlon=43.0876&amp;zoom=12#map=12/36.3561/43.0876","Maplink1")</f>
        <v>Maplink1</v>
      </c>
      <c r="AX1226" s="104" t="str">
        <f>HYPERLINK("https://www.google.iq/maps/search/+36.3561,43.0876/@36.3561,43.0876,14z?hl=en","Maplink2")</f>
        <v>Maplink2</v>
      </c>
      <c r="AY1226" s="104" t="str">
        <f>HYPERLINK("http://www.bing.com/maps/?lvl=14&amp;sty=h&amp;cp=36.3561~43.0876&amp;sp=point.36.3561_43.0876","Maplink3")</f>
        <v>Maplink3</v>
      </c>
    </row>
    <row r="1227" spans="1:51" x14ac:dyDescent="0.2">
      <c r="A1227" s="102">
        <v>18386</v>
      </c>
      <c r="B1227" s="103" t="s">
        <v>35</v>
      </c>
      <c r="C1227" s="103" t="s">
        <v>102</v>
      </c>
      <c r="D1227" s="103" t="s">
        <v>2625</v>
      </c>
      <c r="E1227" s="103" t="s">
        <v>2626</v>
      </c>
      <c r="F1227" s="103">
        <v>36.338903000000002</v>
      </c>
      <c r="G1227" s="103">
        <v>43.123482000000003</v>
      </c>
      <c r="H1227" s="102">
        <v>229</v>
      </c>
      <c r="I1227" s="102">
        <v>1374</v>
      </c>
      <c r="J1227" s="103"/>
      <c r="K1227" s="103"/>
      <c r="L1227" s="103"/>
      <c r="M1227" s="103">
        <v>129</v>
      </c>
      <c r="N1227" s="103">
        <v>100</v>
      </c>
      <c r="O1227" s="103"/>
      <c r="P1227" s="103"/>
      <c r="Q1227" s="103"/>
      <c r="R1227" s="103"/>
      <c r="S1227" s="103"/>
      <c r="T1227" s="103"/>
      <c r="U1227" s="103"/>
      <c r="V1227" s="103"/>
      <c r="W1227" s="103"/>
      <c r="X1227" s="103"/>
      <c r="Y1227" s="103"/>
      <c r="Z1227" s="103"/>
      <c r="AA1227" s="103"/>
      <c r="AB1227" s="103"/>
      <c r="AC1227" s="103"/>
      <c r="AD1227" s="103"/>
      <c r="AE1227" s="103"/>
      <c r="AF1227" s="103"/>
      <c r="AG1227" s="103">
        <v>229</v>
      </c>
      <c r="AH1227" s="103"/>
      <c r="AI1227" s="103"/>
      <c r="AJ1227" s="103"/>
      <c r="AK1227" s="103"/>
      <c r="AL1227" s="103"/>
      <c r="AM1227" s="103"/>
      <c r="AN1227" s="103"/>
      <c r="AO1227" s="103"/>
      <c r="AP1227" s="103"/>
      <c r="AQ1227" s="103"/>
      <c r="AR1227" s="103"/>
      <c r="AS1227" s="103">
        <v>229</v>
      </c>
      <c r="AT1227" s="103"/>
      <c r="AU1227" s="103"/>
      <c r="AV1227" s="103"/>
      <c r="AW1227" s="104" t="str">
        <f>HYPERLINK("http://www.openstreetmap.org/?mlat=36.3389&amp;mlon=43.1235&amp;zoom=12#map=12/36.3389/43.1235","Maplink1")</f>
        <v>Maplink1</v>
      </c>
      <c r="AX1227" s="104" t="str">
        <f>HYPERLINK("https://www.google.iq/maps/search/+36.3389,43.1235/@36.3389,43.1235,14z?hl=en","Maplink2")</f>
        <v>Maplink2</v>
      </c>
      <c r="AY1227" s="104" t="str">
        <f>HYPERLINK("http://www.bing.com/maps/?lvl=14&amp;sty=h&amp;cp=36.3389~43.1235&amp;sp=point.36.3389_43.1235","Maplink3")</f>
        <v>Maplink3</v>
      </c>
    </row>
    <row r="1228" spans="1:51" x14ac:dyDescent="0.2">
      <c r="A1228" s="102">
        <v>33263</v>
      </c>
      <c r="B1228" s="103" t="s">
        <v>35</v>
      </c>
      <c r="C1228" s="103" t="s">
        <v>102</v>
      </c>
      <c r="D1228" s="103" t="s">
        <v>2627</v>
      </c>
      <c r="E1228" s="103" t="s">
        <v>2628</v>
      </c>
      <c r="F1228" s="103">
        <v>36.335687999999998</v>
      </c>
      <c r="G1228" s="103">
        <v>43.125193538799998</v>
      </c>
      <c r="H1228" s="102">
        <v>430</v>
      </c>
      <c r="I1228" s="102">
        <v>2580</v>
      </c>
      <c r="J1228" s="103"/>
      <c r="K1228" s="103"/>
      <c r="L1228" s="103"/>
      <c r="M1228" s="103">
        <v>400</v>
      </c>
      <c r="N1228" s="103">
        <v>30</v>
      </c>
      <c r="O1228" s="103"/>
      <c r="P1228" s="103"/>
      <c r="Q1228" s="103"/>
      <c r="R1228" s="103"/>
      <c r="S1228" s="103"/>
      <c r="T1228" s="103"/>
      <c r="U1228" s="103"/>
      <c r="V1228" s="103"/>
      <c r="W1228" s="103"/>
      <c r="X1228" s="103"/>
      <c r="Y1228" s="103"/>
      <c r="Z1228" s="103"/>
      <c r="AA1228" s="103"/>
      <c r="AB1228" s="103"/>
      <c r="AC1228" s="103"/>
      <c r="AD1228" s="103"/>
      <c r="AE1228" s="103"/>
      <c r="AF1228" s="103"/>
      <c r="AG1228" s="103">
        <v>430</v>
      </c>
      <c r="AH1228" s="103"/>
      <c r="AI1228" s="103"/>
      <c r="AJ1228" s="103"/>
      <c r="AK1228" s="103"/>
      <c r="AL1228" s="103"/>
      <c r="AM1228" s="103"/>
      <c r="AN1228" s="103"/>
      <c r="AO1228" s="103"/>
      <c r="AP1228" s="103"/>
      <c r="AQ1228" s="103"/>
      <c r="AR1228" s="103"/>
      <c r="AS1228" s="103">
        <v>430</v>
      </c>
      <c r="AT1228" s="103"/>
      <c r="AU1228" s="103"/>
      <c r="AV1228" s="103"/>
      <c r="AW1228" s="104" t="str">
        <f>HYPERLINK("http://www.openstreetmap.org/?mlat=36.3357&amp;mlon=43.1252&amp;zoom=12#map=12/36.3357/43.1252","Maplink1")</f>
        <v>Maplink1</v>
      </c>
      <c r="AX1228" s="104" t="str">
        <f>HYPERLINK("https://www.google.iq/maps/search/+36.3357,43.1252/@36.3357,43.1252,14z?hl=en","Maplink2")</f>
        <v>Maplink2</v>
      </c>
      <c r="AY1228" s="104" t="str">
        <f>HYPERLINK("http://www.bing.com/maps/?lvl=14&amp;sty=h&amp;cp=36.3357~43.1252&amp;sp=point.36.3357_43.1252","Maplink3")</f>
        <v>Maplink3</v>
      </c>
    </row>
    <row r="1229" spans="1:51" x14ac:dyDescent="0.2">
      <c r="A1229" s="102">
        <v>18340</v>
      </c>
      <c r="B1229" s="103" t="s">
        <v>35</v>
      </c>
      <c r="C1229" s="103" t="s">
        <v>102</v>
      </c>
      <c r="D1229" s="103" t="s">
        <v>2858</v>
      </c>
      <c r="E1229" s="103" t="s">
        <v>2859</v>
      </c>
      <c r="F1229" s="103">
        <v>36.354405999999997</v>
      </c>
      <c r="G1229" s="103">
        <v>43.098826000000003</v>
      </c>
      <c r="H1229" s="102">
        <v>883</v>
      </c>
      <c r="I1229" s="102">
        <v>5298</v>
      </c>
      <c r="J1229" s="103"/>
      <c r="K1229" s="103"/>
      <c r="L1229" s="103"/>
      <c r="M1229" s="103">
        <v>883</v>
      </c>
      <c r="N1229" s="103"/>
      <c r="O1229" s="103"/>
      <c r="P1229" s="103"/>
      <c r="Q1229" s="103"/>
      <c r="R1229" s="103"/>
      <c r="S1229" s="103"/>
      <c r="T1229" s="103"/>
      <c r="U1229" s="103"/>
      <c r="V1229" s="103"/>
      <c r="W1229" s="103"/>
      <c r="X1229" s="103"/>
      <c r="Y1229" s="103">
        <v>5</v>
      </c>
      <c r="Z1229" s="103"/>
      <c r="AA1229" s="103">
        <v>5</v>
      </c>
      <c r="AB1229" s="103"/>
      <c r="AC1229" s="103"/>
      <c r="AD1229" s="103"/>
      <c r="AE1229" s="103"/>
      <c r="AF1229" s="103"/>
      <c r="AG1229" s="103">
        <v>873</v>
      </c>
      <c r="AH1229" s="103"/>
      <c r="AI1229" s="103"/>
      <c r="AJ1229" s="103"/>
      <c r="AK1229" s="103"/>
      <c r="AL1229" s="103"/>
      <c r="AM1229" s="103"/>
      <c r="AN1229" s="103">
        <v>10</v>
      </c>
      <c r="AO1229" s="103"/>
      <c r="AP1229" s="103"/>
      <c r="AQ1229" s="103"/>
      <c r="AR1229" s="103"/>
      <c r="AS1229" s="103">
        <v>873</v>
      </c>
      <c r="AT1229" s="103"/>
      <c r="AU1229" s="103"/>
      <c r="AV1229" s="103"/>
      <c r="AW1229" s="104" t="str">
        <f>HYPERLINK("http://www.openstreetmap.org/?mlat=36.3544&amp;mlon=43.0988&amp;zoom=12#map=12/36.3544/43.0988","Maplink1")</f>
        <v>Maplink1</v>
      </c>
      <c r="AX1229" s="104" t="str">
        <f>HYPERLINK("https://www.google.iq/maps/search/+36.3544,43.0988/@36.3544,43.0988,14z?hl=en","Maplink2")</f>
        <v>Maplink2</v>
      </c>
      <c r="AY1229" s="104" t="str">
        <f>HYPERLINK("http://www.bing.com/maps/?lvl=14&amp;sty=h&amp;cp=36.3544~43.0988&amp;sp=point.36.3544_43.0988","Maplink3")</f>
        <v>Maplink3</v>
      </c>
    </row>
    <row r="1230" spans="1:51" x14ac:dyDescent="0.2">
      <c r="A1230" s="102">
        <v>34101</v>
      </c>
      <c r="B1230" s="103" t="s">
        <v>35</v>
      </c>
      <c r="C1230" s="103" t="s">
        <v>102</v>
      </c>
      <c r="D1230" s="103" t="s">
        <v>3989</v>
      </c>
      <c r="E1230" s="103" t="s">
        <v>3990</v>
      </c>
      <c r="F1230" s="103">
        <v>35.686191000000001</v>
      </c>
      <c r="G1230" s="103">
        <v>43.257497000000001</v>
      </c>
      <c r="H1230" s="102">
        <v>65</v>
      </c>
      <c r="I1230" s="102">
        <v>390</v>
      </c>
      <c r="J1230" s="103"/>
      <c r="K1230" s="103"/>
      <c r="L1230" s="103"/>
      <c r="M1230" s="103">
        <v>65</v>
      </c>
      <c r="N1230" s="103"/>
      <c r="O1230" s="103"/>
      <c r="P1230" s="103"/>
      <c r="Q1230" s="103"/>
      <c r="R1230" s="103"/>
      <c r="S1230" s="103"/>
      <c r="T1230" s="103"/>
      <c r="U1230" s="103"/>
      <c r="V1230" s="103"/>
      <c r="W1230" s="103"/>
      <c r="X1230" s="103"/>
      <c r="Y1230" s="103"/>
      <c r="Z1230" s="103"/>
      <c r="AA1230" s="103"/>
      <c r="AB1230" s="103"/>
      <c r="AC1230" s="103">
        <v>20</v>
      </c>
      <c r="AD1230" s="103"/>
      <c r="AE1230" s="103"/>
      <c r="AF1230" s="103"/>
      <c r="AG1230" s="103"/>
      <c r="AH1230" s="103"/>
      <c r="AI1230" s="103">
        <v>45</v>
      </c>
      <c r="AJ1230" s="103"/>
      <c r="AK1230" s="103"/>
      <c r="AL1230" s="103"/>
      <c r="AM1230" s="103"/>
      <c r="AN1230" s="103"/>
      <c r="AO1230" s="103"/>
      <c r="AP1230" s="103"/>
      <c r="AQ1230" s="103"/>
      <c r="AR1230" s="103"/>
      <c r="AS1230" s="103">
        <v>65</v>
      </c>
      <c r="AT1230" s="103"/>
      <c r="AU1230" s="103"/>
      <c r="AV1230" s="103"/>
      <c r="AW1230" s="104" t="str">
        <f>HYPERLINK("http://www.openstreetmap.org/?mlat=35.6862&amp;mlon=43.2575&amp;zoom=12#map=12/35.6862/43.2575","Maplink1")</f>
        <v>Maplink1</v>
      </c>
      <c r="AX1230" s="104" t="str">
        <f>HYPERLINK("https://www.google.iq/maps/search/+35.6862,43.2575/@35.6862,43.2575,14z?hl=en","Maplink2")</f>
        <v>Maplink2</v>
      </c>
      <c r="AY1230" s="104" t="str">
        <f>HYPERLINK("http://www.bing.com/maps/?lvl=14&amp;sty=h&amp;cp=35.6862~43.2575&amp;sp=point.35.6862_43.2575","Maplink3")</f>
        <v>Maplink3</v>
      </c>
    </row>
    <row r="1231" spans="1:51" x14ac:dyDescent="0.2">
      <c r="A1231" s="102">
        <v>31889</v>
      </c>
      <c r="B1231" s="103" t="s">
        <v>35</v>
      </c>
      <c r="C1231" s="103" t="s">
        <v>102</v>
      </c>
      <c r="D1231" s="103" t="s">
        <v>2536</v>
      </c>
      <c r="E1231" s="103" t="s">
        <v>2537</v>
      </c>
      <c r="F1231" s="103">
        <v>36.244750000000003</v>
      </c>
      <c r="G1231" s="103">
        <v>43.148357869500003</v>
      </c>
      <c r="H1231" s="102">
        <v>15</v>
      </c>
      <c r="I1231" s="102">
        <v>90</v>
      </c>
      <c r="J1231" s="103"/>
      <c r="K1231" s="103"/>
      <c r="L1231" s="103"/>
      <c r="M1231" s="103">
        <v>10</v>
      </c>
      <c r="N1231" s="103">
        <v>5</v>
      </c>
      <c r="O1231" s="103"/>
      <c r="P1231" s="103"/>
      <c r="Q1231" s="103"/>
      <c r="R1231" s="103"/>
      <c r="S1231" s="103"/>
      <c r="T1231" s="103"/>
      <c r="U1231" s="103"/>
      <c r="V1231" s="103"/>
      <c r="W1231" s="103"/>
      <c r="X1231" s="103"/>
      <c r="Y1231" s="103"/>
      <c r="Z1231" s="103"/>
      <c r="AA1231" s="103"/>
      <c r="AB1231" s="103"/>
      <c r="AC1231" s="103"/>
      <c r="AD1231" s="103"/>
      <c r="AE1231" s="103"/>
      <c r="AF1231" s="103"/>
      <c r="AG1231" s="103">
        <v>15</v>
      </c>
      <c r="AH1231" s="103"/>
      <c r="AI1231" s="103"/>
      <c r="AJ1231" s="103"/>
      <c r="AK1231" s="103"/>
      <c r="AL1231" s="103"/>
      <c r="AM1231" s="103"/>
      <c r="AN1231" s="103"/>
      <c r="AO1231" s="103"/>
      <c r="AP1231" s="103"/>
      <c r="AQ1231" s="103"/>
      <c r="AR1231" s="103"/>
      <c r="AS1231" s="103">
        <v>15</v>
      </c>
      <c r="AT1231" s="103"/>
      <c r="AU1231" s="103"/>
      <c r="AV1231" s="103"/>
      <c r="AW1231" s="104" t="str">
        <f>HYPERLINK("http://www.openstreetmap.org/?mlat=36.2448&amp;mlon=43.1484&amp;zoom=12#map=12/36.2448/43.1484","Maplink1")</f>
        <v>Maplink1</v>
      </c>
      <c r="AX1231" s="104" t="str">
        <f>HYPERLINK("https://www.google.iq/maps/search/+36.2448,43.1484/@36.2448,43.1484,14z?hl=en","Maplink2")</f>
        <v>Maplink2</v>
      </c>
      <c r="AY1231" s="104" t="str">
        <f>HYPERLINK("http://www.bing.com/maps/?lvl=14&amp;sty=h&amp;cp=36.2448~43.1484&amp;sp=point.36.2448_43.1484","Maplink3")</f>
        <v>Maplink3</v>
      </c>
    </row>
    <row r="1232" spans="1:51" x14ac:dyDescent="0.2">
      <c r="A1232" s="102">
        <v>31943</v>
      </c>
      <c r="B1232" s="103" t="s">
        <v>35</v>
      </c>
      <c r="C1232" s="103" t="s">
        <v>102</v>
      </c>
      <c r="D1232" s="103" t="s">
        <v>2538</v>
      </c>
      <c r="E1232" s="103" t="s">
        <v>2539</v>
      </c>
      <c r="F1232" s="103">
        <v>36.065991855299998</v>
      </c>
      <c r="G1232" s="103">
        <v>43.064466661899999</v>
      </c>
      <c r="H1232" s="102">
        <v>73</v>
      </c>
      <c r="I1232" s="102">
        <v>438</v>
      </c>
      <c r="J1232" s="103"/>
      <c r="K1232" s="103"/>
      <c r="L1232" s="103"/>
      <c r="M1232" s="103">
        <v>72</v>
      </c>
      <c r="N1232" s="103">
        <v>1</v>
      </c>
      <c r="O1232" s="103"/>
      <c r="P1232" s="103"/>
      <c r="Q1232" s="103"/>
      <c r="R1232" s="103"/>
      <c r="S1232" s="103"/>
      <c r="T1232" s="103"/>
      <c r="U1232" s="103"/>
      <c r="V1232" s="103"/>
      <c r="W1232" s="103"/>
      <c r="X1232" s="103"/>
      <c r="Y1232" s="103"/>
      <c r="Z1232" s="103"/>
      <c r="AA1232" s="103"/>
      <c r="AB1232" s="103"/>
      <c r="AC1232" s="103"/>
      <c r="AD1232" s="103"/>
      <c r="AE1232" s="103"/>
      <c r="AF1232" s="103"/>
      <c r="AG1232" s="103">
        <v>73</v>
      </c>
      <c r="AH1232" s="103"/>
      <c r="AI1232" s="103"/>
      <c r="AJ1232" s="103"/>
      <c r="AK1232" s="103"/>
      <c r="AL1232" s="103"/>
      <c r="AM1232" s="103"/>
      <c r="AN1232" s="103"/>
      <c r="AO1232" s="103"/>
      <c r="AP1232" s="103"/>
      <c r="AQ1232" s="103"/>
      <c r="AR1232" s="103"/>
      <c r="AS1232" s="103">
        <v>73</v>
      </c>
      <c r="AT1232" s="103"/>
      <c r="AU1232" s="103"/>
      <c r="AV1232" s="103"/>
      <c r="AW1232" s="104" t="str">
        <f>HYPERLINK("http://www.openstreetmap.org/?mlat=36.066&amp;mlon=43.0645&amp;zoom=12#map=12/36.066/43.0645","Maplink1")</f>
        <v>Maplink1</v>
      </c>
      <c r="AX1232" s="104" t="str">
        <f>HYPERLINK("https://www.google.iq/maps/search/+36.066,43.0645/@36.066,43.0645,14z?hl=en","Maplink2")</f>
        <v>Maplink2</v>
      </c>
      <c r="AY1232" s="104" t="str">
        <f>HYPERLINK("http://www.bing.com/maps/?lvl=14&amp;sty=h&amp;cp=36.066~43.0645&amp;sp=point.36.066_43.0645","Maplink3")</f>
        <v>Maplink3</v>
      </c>
    </row>
    <row r="1233" spans="1:51" x14ac:dyDescent="0.2">
      <c r="A1233" s="102">
        <v>33181</v>
      </c>
      <c r="B1233" s="103" t="s">
        <v>35</v>
      </c>
      <c r="C1233" s="103" t="s">
        <v>102</v>
      </c>
      <c r="D1233" s="103" t="s">
        <v>2540</v>
      </c>
      <c r="E1233" s="103" t="s">
        <v>2541</v>
      </c>
      <c r="F1233" s="103">
        <v>36.157302959200003</v>
      </c>
      <c r="G1233" s="103">
        <v>43.084662680699999</v>
      </c>
      <c r="H1233" s="102">
        <v>80</v>
      </c>
      <c r="I1233" s="102">
        <v>480</v>
      </c>
      <c r="J1233" s="103"/>
      <c r="K1233" s="103"/>
      <c r="L1233" s="103"/>
      <c r="M1233" s="103">
        <v>70</v>
      </c>
      <c r="N1233" s="103">
        <v>10</v>
      </c>
      <c r="O1233" s="103"/>
      <c r="P1233" s="103"/>
      <c r="Q1233" s="103"/>
      <c r="R1233" s="103"/>
      <c r="S1233" s="103"/>
      <c r="T1233" s="103"/>
      <c r="U1233" s="103"/>
      <c r="V1233" s="103"/>
      <c r="W1233" s="103"/>
      <c r="X1233" s="103"/>
      <c r="Y1233" s="103"/>
      <c r="Z1233" s="103"/>
      <c r="AA1233" s="103"/>
      <c r="AB1233" s="103"/>
      <c r="AC1233" s="103"/>
      <c r="AD1233" s="103"/>
      <c r="AE1233" s="103"/>
      <c r="AF1233" s="103"/>
      <c r="AG1233" s="103">
        <v>80</v>
      </c>
      <c r="AH1233" s="103"/>
      <c r="AI1233" s="103"/>
      <c r="AJ1233" s="103"/>
      <c r="AK1233" s="103"/>
      <c r="AL1233" s="103"/>
      <c r="AM1233" s="103"/>
      <c r="AN1233" s="103"/>
      <c r="AO1233" s="103"/>
      <c r="AP1233" s="103"/>
      <c r="AQ1233" s="103"/>
      <c r="AR1233" s="103"/>
      <c r="AS1233" s="103">
        <v>80</v>
      </c>
      <c r="AT1233" s="103"/>
      <c r="AU1233" s="103"/>
      <c r="AV1233" s="103"/>
      <c r="AW1233" s="104" t="str">
        <f>HYPERLINK("http://www.openstreetmap.org/?mlat=36.1573&amp;mlon=43.0847&amp;zoom=12#map=12/36.1573/43.0847","Maplink1")</f>
        <v>Maplink1</v>
      </c>
      <c r="AX1233" s="104" t="str">
        <f>HYPERLINK("https://www.google.iq/maps/search/+36.1573,43.0847/@36.1573,43.0847,14z?hl=en","Maplink2")</f>
        <v>Maplink2</v>
      </c>
      <c r="AY1233" s="104" t="str">
        <f>HYPERLINK("http://www.bing.com/maps/?lvl=14&amp;sty=h&amp;cp=36.1573~43.0847&amp;sp=point.36.1573_43.0847","Maplink3")</f>
        <v>Maplink3</v>
      </c>
    </row>
    <row r="1234" spans="1:51" x14ac:dyDescent="0.2">
      <c r="A1234" s="102">
        <v>33462</v>
      </c>
      <c r="B1234" s="103" t="s">
        <v>35</v>
      </c>
      <c r="C1234" s="103" t="s">
        <v>102</v>
      </c>
      <c r="D1234" s="103" t="s">
        <v>2542</v>
      </c>
      <c r="E1234" s="103" t="s">
        <v>2543</v>
      </c>
      <c r="F1234" s="103">
        <v>36.308031418399999</v>
      </c>
      <c r="G1234" s="103">
        <v>43.196948966999997</v>
      </c>
      <c r="H1234" s="102">
        <v>264</v>
      </c>
      <c r="I1234" s="102">
        <v>1584</v>
      </c>
      <c r="J1234" s="103"/>
      <c r="K1234" s="103"/>
      <c r="L1234" s="103"/>
      <c r="M1234" s="103">
        <v>264</v>
      </c>
      <c r="N1234" s="103"/>
      <c r="O1234" s="103"/>
      <c r="P1234" s="103"/>
      <c r="Q1234" s="103"/>
      <c r="R1234" s="103"/>
      <c r="S1234" s="103"/>
      <c r="T1234" s="103"/>
      <c r="U1234" s="103"/>
      <c r="V1234" s="103"/>
      <c r="W1234" s="103">
        <v>15</v>
      </c>
      <c r="X1234" s="103"/>
      <c r="Y1234" s="103">
        <v>25</v>
      </c>
      <c r="Z1234" s="103"/>
      <c r="AA1234" s="103">
        <v>36</v>
      </c>
      <c r="AB1234" s="103"/>
      <c r="AC1234" s="103">
        <v>15</v>
      </c>
      <c r="AD1234" s="103"/>
      <c r="AE1234" s="103"/>
      <c r="AF1234" s="103"/>
      <c r="AG1234" s="103">
        <v>173</v>
      </c>
      <c r="AH1234" s="103"/>
      <c r="AI1234" s="103"/>
      <c r="AJ1234" s="103"/>
      <c r="AK1234" s="103"/>
      <c r="AL1234" s="103"/>
      <c r="AM1234" s="103"/>
      <c r="AN1234" s="103">
        <v>91</v>
      </c>
      <c r="AO1234" s="103"/>
      <c r="AP1234" s="103"/>
      <c r="AQ1234" s="103"/>
      <c r="AR1234" s="103"/>
      <c r="AS1234" s="103">
        <v>173</v>
      </c>
      <c r="AT1234" s="103"/>
      <c r="AU1234" s="103"/>
      <c r="AV1234" s="103"/>
      <c r="AW1234" s="104" t="str">
        <f>HYPERLINK("http://www.openstreetmap.org/?mlat=36.308&amp;mlon=43.1969&amp;zoom=12#map=12/36.308/43.1969","Maplink1")</f>
        <v>Maplink1</v>
      </c>
      <c r="AX1234" s="104" t="str">
        <f>HYPERLINK("https://www.google.iq/maps/search/+36.308,43.1969/@36.308,43.1969,14z?hl=en","Maplink2")</f>
        <v>Maplink2</v>
      </c>
      <c r="AY1234" s="104" t="str">
        <f>HYPERLINK("http://www.bing.com/maps/?lvl=14&amp;sty=h&amp;cp=36.308~43.1969&amp;sp=point.36.308_43.1969","Maplink3")</f>
        <v>Maplink3</v>
      </c>
    </row>
    <row r="1235" spans="1:51" x14ac:dyDescent="0.2">
      <c r="A1235" s="102">
        <v>31884</v>
      </c>
      <c r="B1235" s="103" t="s">
        <v>35</v>
      </c>
      <c r="C1235" s="103" t="s">
        <v>102</v>
      </c>
      <c r="D1235" s="103" t="s">
        <v>2874</v>
      </c>
      <c r="E1235" s="103" t="s">
        <v>1901</v>
      </c>
      <c r="F1235" s="103">
        <v>36.147499000000003</v>
      </c>
      <c r="G1235" s="103">
        <v>43.224305796300001</v>
      </c>
      <c r="H1235" s="102">
        <v>102</v>
      </c>
      <c r="I1235" s="102">
        <v>612</v>
      </c>
      <c r="J1235" s="103"/>
      <c r="K1235" s="103"/>
      <c r="L1235" s="103"/>
      <c r="M1235" s="103">
        <v>101</v>
      </c>
      <c r="N1235" s="103">
        <v>1</v>
      </c>
      <c r="O1235" s="103"/>
      <c r="P1235" s="103"/>
      <c r="Q1235" s="103"/>
      <c r="R1235" s="103"/>
      <c r="S1235" s="103"/>
      <c r="T1235" s="103"/>
      <c r="U1235" s="103"/>
      <c r="V1235" s="103"/>
      <c r="W1235" s="103"/>
      <c r="X1235" s="103"/>
      <c r="Y1235" s="103"/>
      <c r="Z1235" s="103"/>
      <c r="AA1235" s="103"/>
      <c r="AB1235" s="103"/>
      <c r="AC1235" s="103"/>
      <c r="AD1235" s="103"/>
      <c r="AE1235" s="103"/>
      <c r="AF1235" s="103"/>
      <c r="AG1235" s="103">
        <v>102</v>
      </c>
      <c r="AH1235" s="103"/>
      <c r="AI1235" s="103"/>
      <c r="AJ1235" s="103"/>
      <c r="AK1235" s="103"/>
      <c r="AL1235" s="103"/>
      <c r="AM1235" s="103"/>
      <c r="AN1235" s="103"/>
      <c r="AO1235" s="103"/>
      <c r="AP1235" s="103"/>
      <c r="AQ1235" s="103"/>
      <c r="AR1235" s="103"/>
      <c r="AS1235" s="103">
        <v>102</v>
      </c>
      <c r="AT1235" s="103"/>
      <c r="AU1235" s="103"/>
      <c r="AV1235" s="103"/>
      <c r="AW1235" s="104" t="str">
        <f>HYPERLINK("http://www.openstreetmap.org/?mlat=36.1475&amp;mlon=43.2243&amp;zoom=12#map=12/36.1475/43.2243","Maplink1")</f>
        <v>Maplink1</v>
      </c>
      <c r="AX1235" s="104" t="str">
        <f>HYPERLINK("https://www.google.iq/maps/search/+36.1475,43.2243/@36.1475,43.2243,14z?hl=en","Maplink2")</f>
        <v>Maplink2</v>
      </c>
      <c r="AY1235" s="104" t="str">
        <f>HYPERLINK("http://www.bing.com/maps/?lvl=14&amp;sty=h&amp;cp=36.1475~43.2243&amp;sp=point.36.1475_43.2243","Maplink3")</f>
        <v>Maplink3</v>
      </c>
    </row>
    <row r="1236" spans="1:51" x14ac:dyDescent="0.2">
      <c r="A1236" s="102">
        <v>31888</v>
      </c>
      <c r="B1236" s="103" t="s">
        <v>35</v>
      </c>
      <c r="C1236" s="103" t="s">
        <v>102</v>
      </c>
      <c r="D1236" s="103" t="s">
        <v>2875</v>
      </c>
      <c r="E1236" s="103" t="s">
        <v>2876</v>
      </c>
      <c r="F1236" s="103">
        <v>36.245513000000003</v>
      </c>
      <c r="G1236" s="103">
        <v>43.151181315700001</v>
      </c>
      <c r="H1236" s="102">
        <v>18</v>
      </c>
      <c r="I1236" s="102">
        <v>108</v>
      </c>
      <c r="J1236" s="103"/>
      <c r="K1236" s="103"/>
      <c r="L1236" s="103"/>
      <c r="M1236" s="103">
        <v>10</v>
      </c>
      <c r="N1236" s="103">
        <v>8</v>
      </c>
      <c r="O1236" s="103"/>
      <c r="P1236" s="103"/>
      <c r="Q1236" s="103"/>
      <c r="R1236" s="103"/>
      <c r="S1236" s="103"/>
      <c r="T1236" s="103"/>
      <c r="U1236" s="103"/>
      <c r="V1236" s="103"/>
      <c r="W1236" s="103"/>
      <c r="X1236" s="103"/>
      <c r="Y1236" s="103"/>
      <c r="Z1236" s="103"/>
      <c r="AA1236" s="103"/>
      <c r="AB1236" s="103"/>
      <c r="AC1236" s="103"/>
      <c r="AD1236" s="103"/>
      <c r="AE1236" s="103"/>
      <c r="AF1236" s="103"/>
      <c r="AG1236" s="103">
        <v>18</v>
      </c>
      <c r="AH1236" s="103"/>
      <c r="AI1236" s="103"/>
      <c r="AJ1236" s="103"/>
      <c r="AK1236" s="103"/>
      <c r="AL1236" s="103"/>
      <c r="AM1236" s="103"/>
      <c r="AN1236" s="103"/>
      <c r="AO1236" s="103"/>
      <c r="AP1236" s="103"/>
      <c r="AQ1236" s="103"/>
      <c r="AR1236" s="103"/>
      <c r="AS1236" s="103">
        <v>18</v>
      </c>
      <c r="AT1236" s="103"/>
      <c r="AU1236" s="103"/>
      <c r="AV1236" s="103"/>
      <c r="AW1236" s="104" t="str">
        <f>HYPERLINK("http://www.openstreetmap.org/?mlat=36.2455&amp;mlon=43.1512&amp;zoom=12#map=12/36.2455/43.1512","Maplink1")</f>
        <v>Maplink1</v>
      </c>
      <c r="AX1236" s="104" t="str">
        <f>HYPERLINK("https://www.google.iq/maps/search/+36.2455,43.1512/@36.2455,43.1512,14z?hl=en","Maplink2")</f>
        <v>Maplink2</v>
      </c>
      <c r="AY1236" s="104" t="str">
        <f>HYPERLINK("http://www.bing.com/maps/?lvl=14&amp;sty=h&amp;cp=36.2455~43.1512&amp;sp=point.36.2455_43.1512","Maplink3")</f>
        <v>Maplink3</v>
      </c>
    </row>
    <row r="1237" spans="1:51" x14ac:dyDescent="0.2">
      <c r="A1237" s="102">
        <v>18391</v>
      </c>
      <c r="B1237" s="103" t="s">
        <v>35</v>
      </c>
      <c r="C1237" s="103" t="s">
        <v>102</v>
      </c>
      <c r="D1237" s="103" t="s">
        <v>2877</v>
      </c>
      <c r="E1237" s="103" t="s">
        <v>2878</v>
      </c>
      <c r="F1237" s="103">
        <v>36.382470299300003</v>
      </c>
      <c r="G1237" s="103">
        <v>43.178487335699998</v>
      </c>
      <c r="H1237" s="102">
        <v>182</v>
      </c>
      <c r="I1237" s="102">
        <v>1092</v>
      </c>
      <c r="J1237" s="103"/>
      <c r="K1237" s="103"/>
      <c r="L1237" s="103"/>
      <c r="M1237" s="103">
        <v>182</v>
      </c>
      <c r="N1237" s="103"/>
      <c r="O1237" s="103"/>
      <c r="P1237" s="103"/>
      <c r="Q1237" s="103"/>
      <c r="R1237" s="103"/>
      <c r="S1237" s="103"/>
      <c r="T1237" s="103"/>
      <c r="U1237" s="103"/>
      <c r="V1237" s="103"/>
      <c r="W1237" s="103">
        <v>14</v>
      </c>
      <c r="X1237" s="103"/>
      <c r="Y1237" s="103">
        <v>33</v>
      </c>
      <c r="Z1237" s="103"/>
      <c r="AA1237" s="103">
        <v>52</v>
      </c>
      <c r="AB1237" s="103"/>
      <c r="AC1237" s="103"/>
      <c r="AD1237" s="103"/>
      <c r="AE1237" s="103"/>
      <c r="AF1237" s="103"/>
      <c r="AG1237" s="103">
        <v>83</v>
      </c>
      <c r="AH1237" s="103"/>
      <c r="AI1237" s="103"/>
      <c r="AJ1237" s="103"/>
      <c r="AK1237" s="103"/>
      <c r="AL1237" s="103"/>
      <c r="AM1237" s="103"/>
      <c r="AN1237" s="103">
        <v>99</v>
      </c>
      <c r="AO1237" s="103"/>
      <c r="AP1237" s="103"/>
      <c r="AQ1237" s="103"/>
      <c r="AR1237" s="103"/>
      <c r="AS1237" s="103">
        <v>83</v>
      </c>
      <c r="AT1237" s="103"/>
      <c r="AU1237" s="103"/>
      <c r="AV1237" s="103"/>
      <c r="AW1237" s="104" t="str">
        <f>HYPERLINK("http://www.openstreetmap.org/?mlat=36.3825&amp;mlon=43.1785&amp;zoom=12#map=12/36.3825/43.1785","Maplink1")</f>
        <v>Maplink1</v>
      </c>
      <c r="AX1237" s="104" t="str">
        <f>HYPERLINK("https://www.google.iq/maps/search/+36.3825,43.1785/@36.3825,43.1785,14z?hl=en","Maplink2")</f>
        <v>Maplink2</v>
      </c>
      <c r="AY1237" s="104" t="str">
        <f>HYPERLINK("http://www.bing.com/maps/?lvl=14&amp;sty=h&amp;cp=36.3825~43.1785&amp;sp=point.36.3825_43.1785","Maplink3")</f>
        <v>Maplink3</v>
      </c>
    </row>
    <row r="1238" spans="1:51" x14ac:dyDescent="0.2">
      <c r="A1238" s="102">
        <v>31915</v>
      </c>
      <c r="B1238" s="103" t="s">
        <v>35</v>
      </c>
      <c r="C1238" s="103" t="s">
        <v>102</v>
      </c>
      <c r="D1238" s="103" t="s">
        <v>2879</v>
      </c>
      <c r="E1238" s="103" t="s">
        <v>2880</v>
      </c>
      <c r="F1238" s="103">
        <v>36.393090470700002</v>
      </c>
      <c r="G1238" s="103">
        <v>43.180656948100001</v>
      </c>
      <c r="H1238" s="102">
        <v>116</v>
      </c>
      <c r="I1238" s="102">
        <v>696</v>
      </c>
      <c r="J1238" s="103"/>
      <c r="K1238" s="103"/>
      <c r="L1238" s="103"/>
      <c r="M1238" s="103">
        <v>116</v>
      </c>
      <c r="N1238" s="103"/>
      <c r="O1238" s="103"/>
      <c r="P1238" s="103"/>
      <c r="Q1238" s="103"/>
      <c r="R1238" s="103"/>
      <c r="S1238" s="103"/>
      <c r="T1238" s="103"/>
      <c r="U1238" s="103"/>
      <c r="V1238" s="103"/>
      <c r="W1238" s="103">
        <v>23</v>
      </c>
      <c r="X1238" s="103"/>
      <c r="Y1238" s="103">
        <v>14</v>
      </c>
      <c r="Z1238" s="103"/>
      <c r="AA1238" s="103">
        <v>15</v>
      </c>
      <c r="AB1238" s="103"/>
      <c r="AC1238" s="103"/>
      <c r="AD1238" s="103"/>
      <c r="AE1238" s="103"/>
      <c r="AF1238" s="103"/>
      <c r="AG1238" s="103">
        <v>64</v>
      </c>
      <c r="AH1238" s="103"/>
      <c r="AI1238" s="103"/>
      <c r="AJ1238" s="103"/>
      <c r="AK1238" s="103"/>
      <c r="AL1238" s="103"/>
      <c r="AM1238" s="103"/>
      <c r="AN1238" s="103">
        <v>52</v>
      </c>
      <c r="AO1238" s="103"/>
      <c r="AP1238" s="103"/>
      <c r="AQ1238" s="103"/>
      <c r="AR1238" s="103"/>
      <c r="AS1238" s="103">
        <v>64</v>
      </c>
      <c r="AT1238" s="103"/>
      <c r="AU1238" s="103"/>
      <c r="AV1238" s="103"/>
      <c r="AW1238" s="104" t="str">
        <f>HYPERLINK("http://www.openstreetmap.org/?mlat=36.3931&amp;mlon=43.1807&amp;zoom=12#map=12/36.3931/43.1807","Maplink1")</f>
        <v>Maplink1</v>
      </c>
      <c r="AX1238" s="104" t="str">
        <f>HYPERLINK("https://www.google.iq/maps/search/+36.3931,43.1807/@36.3931,43.1807,14z?hl=en","Maplink2")</f>
        <v>Maplink2</v>
      </c>
      <c r="AY1238" s="104" t="str">
        <f>HYPERLINK("http://www.bing.com/maps/?lvl=14&amp;sty=h&amp;cp=36.3931~43.1807&amp;sp=point.36.3931_43.1807","Maplink3")</f>
        <v>Maplink3</v>
      </c>
    </row>
    <row r="1239" spans="1:51" x14ac:dyDescent="0.2">
      <c r="A1239" s="102">
        <v>18000</v>
      </c>
      <c r="B1239" s="103" t="s">
        <v>35</v>
      </c>
      <c r="C1239" s="103" t="s">
        <v>102</v>
      </c>
      <c r="D1239" s="103" t="s">
        <v>2881</v>
      </c>
      <c r="E1239" s="103" t="s">
        <v>2799</v>
      </c>
      <c r="F1239" s="103">
        <v>36.051372000000001</v>
      </c>
      <c r="G1239" s="103">
        <v>43.122588999999998</v>
      </c>
      <c r="H1239" s="102">
        <v>20</v>
      </c>
      <c r="I1239" s="102">
        <v>120</v>
      </c>
      <c r="J1239" s="103"/>
      <c r="K1239" s="103"/>
      <c r="L1239" s="103"/>
      <c r="M1239" s="103">
        <v>20</v>
      </c>
      <c r="N1239" s="103"/>
      <c r="O1239" s="103"/>
      <c r="P1239" s="103"/>
      <c r="Q1239" s="103"/>
      <c r="R1239" s="103"/>
      <c r="S1239" s="103"/>
      <c r="T1239" s="103"/>
      <c r="U1239" s="103"/>
      <c r="V1239" s="103"/>
      <c r="W1239" s="103"/>
      <c r="X1239" s="103"/>
      <c r="Y1239" s="103"/>
      <c r="Z1239" s="103"/>
      <c r="AA1239" s="103"/>
      <c r="AB1239" s="103"/>
      <c r="AC1239" s="103"/>
      <c r="AD1239" s="103"/>
      <c r="AE1239" s="103"/>
      <c r="AF1239" s="103"/>
      <c r="AG1239" s="103">
        <v>20</v>
      </c>
      <c r="AH1239" s="103"/>
      <c r="AI1239" s="103"/>
      <c r="AJ1239" s="103"/>
      <c r="AK1239" s="103"/>
      <c r="AL1239" s="103"/>
      <c r="AM1239" s="103"/>
      <c r="AN1239" s="103"/>
      <c r="AO1239" s="103"/>
      <c r="AP1239" s="103"/>
      <c r="AQ1239" s="103"/>
      <c r="AR1239" s="103"/>
      <c r="AS1239" s="103">
        <v>20</v>
      </c>
      <c r="AT1239" s="103"/>
      <c r="AU1239" s="103"/>
      <c r="AV1239" s="103"/>
      <c r="AW1239" s="104" t="str">
        <f>HYPERLINK("http://www.openstreetmap.org/?mlat=36.0514&amp;mlon=43.1226&amp;zoom=12#map=12/36.0514/43.1226","Maplink1")</f>
        <v>Maplink1</v>
      </c>
      <c r="AX1239" s="104" t="str">
        <f>HYPERLINK("https://www.google.iq/maps/search/+36.0514,43.1226/@36.0514,43.1226,14z?hl=en","Maplink2")</f>
        <v>Maplink2</v>
      </c>
      <c r="AY1239" s="104" t="str">
        <f>HYPERLINK("http://www.bing.com/maps/?lvl=14&amp;sty=h&amp;cp=36.0514~43.1226&amp;sp=point.36.0514_43.1226","Maplink3")</f>
        <v>Maplink3</v>
      </c>
    </row>
    <row r="1240" spans="1:51" x14ac:dyDescent="0.2">
      <c r="A1240" s="102">
        <v>33180</v>
      </c>
      <c r="B1240" s="103" t="s">
        <v>35</v>
      </c>
      <c r="C1240" s="103" t="s">
        <v>102</v>
      </c>
      <c r="D1240" s="103" t="s">
        <v>2882</v>
      </c>
      <c r="E1240" s="103" t="s">
        <v>2883</v>
      </c>
      <c r="F1240" s="103">
        <v>36.103005000000003</v>
      </c>
      <c r="G1240" s="103">
        <v>43.233553999999998</v>
      </c>
      <c r="H1240" s="102">
        <v>4</v>
      </c>
      <c r="I1240" s="102">
        <v>24</v>
      </c>
      <c r="J1240" s="103"/>
      <c r="K1240" s="103"/>
      <c r="L1240" s="103"/>
      <c r="M1240" s="103">
        <v>4</v>
      </c>
      <c r="N1240" s="103"/>
      <c r="O1240" s="103"/>
      <c r="P1240" s="103"/>
      <c r="Q1240" s="103"/>
      <c r="R1240" s="103"/>
      <c r="S1240" s="103"/>
      <c r="T1240" s="103"/>
      <c r="U1240" s="103"/>
      <c r="V1240" s="103"/>
      <c r="W1240" s="103"/>
      <c r="X1240" s="103"/>
      <c r="Y1240" s="103"/>
      <c r="Z1240" s="103"/>
      <c r="AA1240" s="103"/>
      <c r="AB1240" s="103"/>
      <c r="AC1240" s="103"/>
      <c r="AD1240" s="103"/>
      <c r="AE1240" s="103"/>
      <c r="AF1240" s="103"/>
      <c r="AG1240" s="103">
        <v>4</v>
      </c>
      <c r="AH1240" s="103"/>
      <c r="AI1240" s="103"/>
      <c r="AJ1240" s="103"/>
      <c r="AK1240" s="103"/>
      <c r="AL1240" s="103"/>
      <c r="AM1240" s="103"/>
      <c r="AN1240" s="103"/>
      <c r="AO1240" s="103"/>
      <c r="AP1240" s="103"/>
      <c r="AQ1240" s="103"/>
      <c r="AR1240" s="103"/>
      <c r="AS1240" s="103">
        <v>4</v>
      </c>
      <c r="AT1240" s="103"/>
      <c r="AU1240" s="103"/>
      <c r="AV1240" s="103"/>
      <c r="AW1240" s="104" t="str">
        <f>HYPERLINK("http://www.openstreetmap.org/?mlat=36.103&amp;mlon=43.2336&amp;zoom=12#map=12/36.103/43.2336","Maplink1")</f>
        <v>Maplink1</v>
      </c>
      <c r="AX1240" s="104" t="str">
        <f>HYPERLINK("https://www.google.iq/maps/search/+36.103,43.2336/@36.103,43.2336,14z?hl=en","Maplink2")</f>
        <v>Maplink2</v>
      </c>
      <c r="AY1240" s="104" t="str">
        <f>HYPERLINK("http://www.bing.com/maps/?lvl=14&amp;sty=h&amp;cp=36.103~43.2336&amp;sp=point.36.103_43.2336","Maplink3")</f>
        <v>Maplink3</v>
      </c>
    </row>
    <row r="1241" spans="1:51" x14ac:dyDescent="0.2">
      <c r="A1241" s="102">
        <v>33607</v>
      </c>
      <c r="B1241" s="103" t="s">
        <v>35</v>
      </c>
      <c r="C1241" s="103" t="s">
        <v>102</v>
      </c>
      <c r="D1241" s="103" t="s">
        <v>2884</v>
      </c>
      <c r="E1241" s="103" t="s">
        <v>2885</v>
      </c>
      <c r="F1241" s="103">
        <v>36.420386999999998</v>
      </c>
      <c r="G1241" s="103">
        <v>42.967828315600002</v>
      </c>
      <c r="H1241" s="102">
        <v>147</v>
      </c>
      <c r="I1241" s="102">
        <v>882</v>
      </c>
      <c r="J1241" s="103"/>
      <c r="K1241" s="103"/>
      <c r="L1241" s="103"/>
      <c r="M1241" s="103">
        <v>137</v>
      </c>
      <c r="N1241" s="103">
        <v>10</v>
      </c>
      <c r="O1241" s="103"/>
      <c r="P1241" s="103"/>
      <c r="Q1241" s="103"/>
      <c r="R1241" s="103"/>
      <c r="S1241" s="103"/>
      <c r="T1241" s="103"/>
      <c r="U1241" s="103"/>
      <c r="V1241" s="103"/>
      <c r="W1241" s="103"/>
      <c r="X1241" s="103"/>
      <c r="Y1241" s="103"/>
      <c r="Z1241" s="103"/>
      <c r="AA1241" s="103"/>
      <c r="AB1241" s="103"/>
      <c r="AC1241" s="103"/>
      <c r="AD1241" s="103"/>
      <c r="AE1241" s="103"/>
      <c r="AF1241" s="103"/>
      <c r="AG1241" s="103">
        <v>147</v>
      </c>
      <c r="AH1241" s="103"/>
      <c r="AI1241" s="103"/>
      <c r="AJ1241" s="103"/>
      <c r="AK1241" s="103"/>
      <c r="AL1241" s="103"/>
      <c r="AM1241" s="103"/>
      <c r="AN1241" s="103"/>
      <c r="AO1241" s="103"/>
      <c r="AP1241" s="103"/>
      <c r="AQ1241" s="103"/>
      <c r="AR1241" s="103"/>
      <c r="AS1241" s="103"/>
      <c r="AT1241" s="103">
        <v>147</v>
      </c>
      <c r="AU1241" s="103"/>
      <c r="AV1241" s="103"/>
      <c r="AW1241" s="104" t="str">
        <f>HYPERLINK("http://www.openstreetmap.org/?mlat=36.4204&amp;mlon=42.9678&amp;zoom=12#map=12/36.4204/42.9678","Maplink1")</f>
        <v>Maplink1</v>
      </c>
      <c r="AX1241" s="104" t="str">
        <f>HYPERLINK("https://www.google.iq/maps/search/+36.4204,42.9678/@36.4204,42.9678,14z?hl=en","Maplink2")</f>
        <v>Maplink2</v>
      </c>
      <c r="AY1241" s="104" t="str">
        <f>HYPERLINK("http://www.bing.com/maps/?lvl=14&amp;sty=h&amp;cp=36.4204~42.9678&amp;sp=point.36.4204_42.9678","Maplink3")</f>
        <v>Maplink3</v>
      </c>
    </row>
    <row r="1242" spans="1:51" x14ac:dyDescent="0.2">
      <c r="A1242" s="102">
        <v>33646</v>
      </c>
      <c r="B1242" s="103" t="s">
        <v>35</v>
      </c>
      <c r="C1242" s="103" t="s">
        <v>102</v>
      </c>
      <c r="D1242" s="103" t="s">
        <v>2886</v>
      </c>
      <c r="E1242" s="103" t="s">
        <v>2887</v>
      </c>
      <c r="F1242" s="103">
        <v>36.454613999999999</v>
      </c>
      <c r="G1242" s="103">
        <v>43.385277000000002</v>
      </c>
      <c r="H1242" s="102">
        <v>60</v>
      </c>
      <c r="I1242" s="102">
        <v>360</v>
      </c>
      <c r="J1242" s="103"/>
      <c r="K1242" s="103"/>
      <c r="L1242" s="103"/>
      <c r="M1242" s="103">
        <v>40</v>
      </c>
      <c r="N1242" s="103">
        <v>20</v>
      </c>
      <c r="O1242" s="103"/>
      <c r="P1242" s="103"/>
      <c r="Q1242" s="103"/>
      <c r="R1242" s="103"/>
      <c r="S1242" s="103"/>
      <c r="T1242" s="103"/>
      <c r="U1242" s="103"/>
      <c r="V1242" s="103"/>
      <c r="W1242" s="103"/>
      <c r="X1242" s="103"/>
      <c r="Y1242" s="103"/>
      <c r="Z1242" s="103"/>
      <c r="AA1242" s="103"/>
      <c r="AB1242" s="103"/>
      <c r="AC1242" s="103"/>
      <c r="AD1242" s="103"/>
      <c r="AE1242" s="103"/>
      <c r="AF1242" s="103"/>
      <c r="AG1242" s="103">
        <v>60</v>
      </c>
      <c r="AH1242" s="103"/>
      <c r="AI1242" s="103"/>
      <c r="AJ1242" s="103"/>
      <c r="AK1242" s="103"/>
      <c r="AL1242" s="103"/>
      <c r="AM1242" s="103"/>
      <c r="AN1242" s="103"/>
      <c r="AO1242" s="103">
        <v>60</v>
      </c>
      <c r="AP1242" s="103"/>
      <c r="AQ1242" s="103"/>
      <c r="AR1242" s="103"/>
      <c r="AS1242" s="103"/>
      <c r="AT1242" s="103"/>
      <c r="AU1242" s="103"/>
      <c r="AV1242" s="103"/>
      <c r="AW1242" s="104" t="str">
        <f>HYPERLINK("http://www.openstreetmap.org/?mlat=36.4546&amp;mlon=43.3853&amp;zoom=12#map=12/36.4546/43.3853","Maplink1")</f>
        <v>Maplink1</v>
      </c>
      <c r="AX1242" s="104" t="str">
        <f>HYPERLINK("https://www.google.iq/maps/search/+36.4546,43.3853/@36.4546,43.3853,14z?hl=en","Maplink2")</f>
        <v>Maplink2</v>
      </c>
      <c r="AY1242" s="104" t="str">
        <f>HYPERLINK("http://www.bing.com/maps/?lvl=14&amp;sty=h&amp;cp=36.4546~43.3853&amp;sp=point.36.4546_43.3853","Maplink3")</f>
        <v>Maplink3</v>
      </c>
    </row>
    <row r="1243" spans="1:51" x14ac:dyDescent="0.2">
      <c r="A1243" s="102">
        <v>34099</v>
      </c>
      <c r="B1243" s="103" t="s">
        <v>35</v>
      </c>
      <c r="C1243" s="103" t="s">
        <v>102</v>
      </c>
      <c r="D1243" s="103" t="s">
        <v>3991</v>
      </c>
      <c r="E1243" s="103" t="s">
        <v>3992</v>
      </c>
      <c r="F1243" s="103">
        <v>35.881368000000002</v>
      </c>
      <c r="G1243" s="103">
        <v>43.292779000000003</v>
      </c>
      <c r="H1243" s="102">
        <v>20</v>
      </c>
      <c r="I1243" s="102">
        <v>120</v>
      </c>
      <c r="J1243" s="103"/>
      <c r="K1243" s="103"/>
      <c r="L1243" s="103"/>
      <c r="M1243" s="103">
        <v>20</v>
      </c>
      <c r="N1243" s="103"/>
      <c r="O1243" s="103"/>
      <c r="P1243" s="103"/>
      <c r="Q1243" s="103"/>
      <c r="R1243" s="103"/>
      <c r="S1243" s="103"/>
      <c r="T1243" s="103"/>
      <c r="U1243" s="103"/>
      <c r="V1243" s="103"/>
      <c r="W1243" s="103"/>
      <c r="X1243" s="103"/>
      <c r="Y1243" s="103"/>
      <c r="Z1243" s="103"/>
      <c r="AA1243" s="103">
        <v>5</v>
      </c>
      <c r="AB1243" s="103"/>
      <c r="AC1243" s="103">
        <v>15</v>
      </c>
      <c r="AD1243" s="103"/>
      <c r="AE1243" s="103"/>
      <c r="AF1243" s="103"/>
      <c r="AG1243" s="103"/>
      <c r="AH1243" s="103"/>
      <c r="AI1243" s="103"/>
      <c r="AJ1243" s="103"/>
      <c r="AK1243" s="103"/>
      <c r="AL1243" s="103"/>
      <c r="AM1243" s="103"/>
      <c r="AN1243" s="103"/>
      <c r="AO1243" s="103"/>
      <c r="AP1243" s="103">
        <v>20</v>
      </c>
      <c r="AQ1243" s="103"/>
      <c r="AR1243" s="103"/>
      <c r="AS1243" s="103"/>
      <c r="AT1243" s="103"/>
      <c r="AU1243" s="103"/>
      <c r="AV1243" s="103"/>
      <c r="AW1243" s="104" t="str">
        <f>HYPERLINK("http://www.openstreetmap.org/?mlat=35.8814&amp;mlon=43.2928&amp;zoom=12#map=12/35.8814/43.2928","Maplink1")</f>
        <v>Maplink1</v>
      </c>
      <c r="AX1243" s="104" t="str">
        <f>HYPERLINK("https://www.google.iq/maps/search/+35.8814,43.2928/@35.8814,43.2928,14z?hl=en","Maplink2")</f>
        <v>Maplink2</v>
      </c>
      <c r="AY1243" s="104" t="str">
        <f>HYPERLINK("http://www.bing.com/maps/?lvl=14&amp;sty=h&amp;cp=35.8814~43.2928&amp;sp=point.35.8814_43.2928","Maplink3")</f>
        <v>Maplink3</v>
      </c>
    </row>
    <row r="1244" spans="1:51" x14ac:dyDescent="0.2">
      <c r="A1244" s="102">
        <v>17922</v>
      </c>
      <c r="B1244" s="103" t="s">
        <v>35</v>
      </c>
      <c r="C1244" s="103" t="s">
        <v>102</v>
      </c>
      <c r="D1244" s="103" t="s">
        <v>2418</v>
      </c>
      <c r="E1244" s="103" t="s">
        <v>2419</v>
      </c>
      <c r="F1244" s="103">
        <v>35.994566145199997</v>
      </c>
      <c r="G1244" s="103">
        <v>43.2232952532</v>
      </c>
      <c r="H1244" s="102">
        <v>1878</v>
      </c>
      <c r="I1244" s="102">
        <v>11268</v>
      </c>
      <c r="J1244" s="103"/>
      <c r="K1244" s="103"/>
      <c r="L1244" s="103"/>
      <c r="M1244" s="103">
        <v>1853</v>
      </c>
      <c r="N1244" s="103">
        <v>25</v>
      </c>
      <c r="O1244" s="103"/>
      <c r="P1244" s="103"/>
      <c r="Q1244" s="103"/>
      <c r="R1244" s="103"/>
      <c r="S1244" s="103"/>
      <c r="T1244" s="103"/>
      <c r="U1244" s="103"/>
      <c r="V1244" s="103"/>
      <c r="W1244" s="103"/>
      <c r="X1244" s="103"/>
      <c r="Y1244" s="103"/>
      <c r="Z1244" s="103"/>
      <c r="AA1244" s="103"/>
      <c r="AB1244" s="103"/>
      <c r="AC1244" s="103"/>
      <c r="AD1244" s="103"/>
      <c r="AE1244" s="103"/>
      <c r="AF1244" s="103"/>
      <c r="AG1244" s="103">
        <v>1878</v>
      </c>
      <c r="AH1244" s="103"/>
      <c r="AI1244" s="103"/>
      <c r="AJ1244" s="103"/>
      <c r="AK1244" s="103"/>
      <c r="AL1244" s="103"/>
      <c r="AM1244" s="103"/>
      <c r="AN1244" s="103"/>
      <c r="AO1244" s="103"/>
      <c r="AP1244" s="103"/>
      <c r="AQ1244" s="103"/>
      <c r="AR1244" s="103"/>
      <c r="AS1244" s="103">
        <v>1878</v>
      </c>
      <c r="AT1244" s="103"/>
      <c r="AU1244" s="103"/>
      <c r="AV1244" s="103"/>
      <c r="AW1244" s="104" t="str">
        <f>HYPERLINK("http://www.openstreetmap.org/?mlat=35.9946&amp;mlon=43.2233&amp;zoom=12#map=12/35.9946/43.2233","Maplink1")</f>
        <v>Maplink1</v>
      </c>
      <c r="AX1244" s="104" t="str">
        <f>HYPERLINK("https://www.google.iq/maps/search/+35.9946,43.2233/@35.9946,43.2233,14z?hl=en","Maplink2")</f>
        <v>Maplink2</v>
      </c>
      <c r="AY1244" s="104" t="str">
        <f>HYPERLINK("http://www.bing.com/maps/?lvl=14&amp;sty=h&amp;cp=35.9946~43.2233&amp;sp=point.35.9946_43.2233","Maplink3")</f>
        <v>Maplink3</v>
      </c>
    </row>
    <row r="1245" spans="1:51" x14ac:dyDescent="0.2">
      <c r="A1245" s="102">
        <v>17424</v>
      </c>
      <c r="B1245" s="103" t="s">
        <v>35</v>
      </c>
      <c r="C1245" s="103" t="s">
        <v>102</v>
      </c>
      <c r="D1245" s="103" t="s">
        <v>2420</v>
      </c>
      <c r="E1245" s="103" t="s">
        <v>2421</v>
      </c>
      <c r="F1245" s="103">
        <v>36.403562252199997</v>
      </c>
      <c r="G1245" s="103">
        <v>42.979444155000003</v>
      </c>
      <c r="H1245" s="102">
        <v>202</v>
      </c>
      <c r="I1245" s="102">
        <v>1212</v>
      </c>
      <c r="J1245" s="103"/>
      <c r="K1245" s="103"/>
      <c r="L1245" s="103"/>
      <c r="M1245" s="103">
        <v>190</v>
      </c>
      <c r="N1245" s="103">
        <v>12</v>
      </c>
      <c r="O1245" s="103"/>
      <c r="P1245" s="103"/>
      <c r="Q1245" s="103"/>
      <c r="R1245" s="103"/>
      <c r="S1245" s="103"/>
      <c r="T1245" s="103"/>
      <c r="U1245" s="103"/>
      <c r="V1245" s="103"/>
      <c r="W1245" s="103"/>
      <c r="X1245" s="103"/>
      <c r="Y1245" s="103"/>
      <c r="Z1245" s="103"/>
      <c r="AA1245" s="103"/>
      <c r="AB1245" s="103"/>
      <c r="AC1245" s="103"/>
      <c r="AD1245" s="103"/>
      <c r="AE1245" s="103"/>
      <c r="AF1245" s="103"/>
      <c r="AG1245" s="103">
        <v>202</v>
      </c>
      <c r="AH1245" s="103"/>
      <c r="AI1245" s="103"/>
      <c r="AJ1245" s="103"/>
      <c r="AK1245" s="103"/>
      <c r="AL1245" s="103"/>
      <c r="AM1245" s="103"/>
      <c r="AN1245" s="103"/>
      <c r="AO1245" s="103"/>
      <c r="AP1245" s="103"/>
      <c r="AQ1245" s="103"/>
      <c r="AR1245" s="103"/>
      <c r="AS1245" s="103">
        <v>202</v>
      </c>
      <c r="AT1245" s="103"/>
      <c r="AU1245" s="103"/>
      <c r="AV1245" s="103"/>
      <c r="AW1245" s="104" t="str">
        <f>HYPERLINK("http://www.openstreetmap.org/?mlat=36.4036&amp;mlon=42.9794&amp;zoom=12#map=12/36.4036/42.9794","Maplink1")</f>
        <v>Maplink1</v>
      </c>
      <c r="AX1245" s="104" t="str">
        <f>HYPERLINK("https://www.google.iq/maps/search/+36.4036,42.9794/@36.4036,42.9794,14z?hl=en","Maplink2")</f>
        <v>Maplink2</v>
      </c>
      <c r="AY1245" s="104" t="str">
        <f>HYPERLINK("http://www.bing.com/maps/?lvl=14&amp;sty=h&amp;cp=36.4036~42.9794&amp;sp=point.36.4036_42.9794","Maplink3")</f>
        <v>Maplink3</v>
      </c>
    </row>
    <row r="1246" spans="1:51" x14ac:dyDescent="0.2">
      <c r="A1246" s="102">
        <v>33200</v>
      </c>
      <c r="B1246" s="103" t="s">
        <v>35</v>
      </c>
      <c r="C1246" s="103" t="s">
        <v>102</v>
      </c>
      <c r="D1246" s="103" t="s">
        <v>2422</v>
      </c>
      <c r="E1246" s="103" t="s">
        <v>2423</v>
      </c>
      <c r="F1246" s="103">
        <v>36.124738999999998</v>
      </c>
      <c r="G1246" s="103">
        <v>42.778040459899998</v>
      </c>
      <c r="H1246" s="102">
        <v>40</v>
      </c>
      <c r="I1246" s="102">
        <v>240</v>
      </c>
      <c r="J1246" s="103"/>
      <c r="K1246" s="103"/>
      <c r="L1246" s="103"/>
      <c r="M1246" s="103">
        <v>34</v>
      </c>
      <c r="N1246" s="103">
        <v>6</v>
      </c>
      <c r="O1246" s="103"/>
      <c r="P1246" s="103"/>
      <c r="Q1246" s="103"/>
      <c r="R1246" s="103"/>
      <c r="S1246" s="103"/>
      <c r="T1246" s="103"/>
      <c r="U1246" s="103"/>
      <c r="V1246" s="103"/>
      <c r="W1246" s="103"/>
      <c r="X1246" s="103"/>
      <c r="Y1246" s="103"/>
      <c r="Z1246" s="103"/>
      <c r="AA1246" s="103"/>
      <c r="AB1246" s="103"/>
      <c r="AC1246" s="103"/>
      <c r="AD1246" s="103"/>
      <c r="AE1246" s="103"/>
      <c r="AF1246" s="103"/>
      <c r="AG1246" s="103">
        <v>40</v>
      </c>
      <c r="AH1246" s="103"/>
      <c r="AI1246" s="103"/>
      <c r="AJ1246" s="103"/>
      <c r="AK1246" s="103"/>
      <c r="AL1246" s="103"/>
      <c r="AM1246" s="103"/>
      <c r="AN1246" s="103"/>
      <c r="AO1246" s="103"/>
      <c r="AP1246" s="103"/>
      <c r="AQ1246" s="103"/>
      <c r="AR1246" s="103"/>
      <c r="AS1246" s="103">
        <v>40</v>
      </c>
      <c r="AT1246" s="103"/>
      <c r="AU1246" s="103"/>
      <c r="AV1246" s="103"/>
      <c r="AW1246" s="104" t="str">
        <f>HYPERLINK("http://www.openstreetmap.org/?mlat=36.1247&amp;mlon=42.778&amp;zoom=12#map=12/36.1247/42.778","Maplink1")</f>
        <v>Maplink1</v>
      </c>
      <c r="AX1246" s="104" t="str">
        <f>HYPERLINK("https://www.google.iq/maps/search/+36.1247,42.778/@36.1247,42.778,14z?hl=en","Maplink2")</f>
        <v>Maplink2</v>
      </c>
      <c r="AY1246" s="104" t="str">
        <f>HYPERLINK("http://www.bing.com/maps/?lvl=14&amp;sty=h&amp;cp=36.1247~42.778&amp;sp=point.36.1247_42.778","Maplink3")</f>
        <v>Maplink3</v>
      </c>
    </row>
    <row r="1247" spans="1:51" x14ac:dyDescent="0.2">
      <c r="A1247" s="102">
        <v>22954</v>
      </c>
      <c r="B1247" s="103" t="s">
        <v>35</v>
      </c>
      <c r="C1247" s="103" t="s">
        <v>102</v>
      </c>
      <c r="D1247" s="103" t="s">
        <v>2424</v>
      </c>
      <c r="E1247" s="103" t="s">
        <v>2425</v>
      </c>
      <c r="F1247" s="103">
        <v>36.446410999999998</v>
      </c>
      <c r="G1247" s="103">
        <v>42.733624103099999</v>
      </c>
      <c r="H1247" s="102">
        <v>335</v>
      </c>
      <c r="I1247" s="102">
        <v>2010</v>
      </c>
      <c r="J1247" s="103"/>
      <c r="K1247" s="103"/>
      <c r="L1247" s="103"/>
      <c r="M1247" s="103">
        <v>300</v>
      </c>
      <c r="N1247" s="103">
        <v>35</v>
      </c>
      <c r="O1247" s="103"/>
      <c r="P1247" s="103"/>
      <c r="Q1247" s="103"/>
      <c r="R1247" s="103"/>
      <c r="S1247" s="103"/>
      <c r="T1247" s="103"/>
      <c r="U1247" s="103"/>
      <c r="V1247" s="103"/>
      <c r="W1247" s="103"/>
      <c r="X1247" s="103"/>
      <c r="Y1247" s="103"/>
      <c r="Z1247" s="103"/>
      <c r="AA1247" s="103"/>
      <c r="AB1247" s="103"/>
      <c r="AC1247" s="103"/>
      <c r="AD1247" s="103"/>
      <c r="AE1247" s="103"/>
      <c r="AF1247" s="103"/>
      <c r="AG1247" s="103">
        <v>335</v>
      </c>
      <c r="AH1247" s="103"/>
      <c r="AI1247" s="103"/>
      <c r="AJ1247" s="103"/>
      <c r="AK1247" s="103"/>
      <c r="AL1247" s="103"/>
      <c r="AM1247" s="103"/>
      <c r="AN1247" s="103"/>
      <c r="AO1247" s="103"/>
      <c r="AP1247" s="103"/>
      <c r="AQ1247" s="103"/>
      <c r="AR1247" s="103"/>
      <c r="AS1247" s="103"/>
      <c r="AT1247" s="103">
        <v>335</v>
      </c>
      <c r="AU1247" s="103"/>
      <c r="AV1247" s="103"/>
      <c r="AW1247" s="104" t="str">
        <f>HYPERLINK("http://www.openstreetmap.org/?mlat=36.4464&amp;mlon=42.7336&amp;zoom=12#map=12/36.4464/42.7336","Maplink1")</f>
        <v>Maplink1</v>
      </c>
      <c r="AX1247" s="104" t="str">
        <f>HYPERLINK("https://www.google.iq/maps/search/+36.4464,42.7336/@36.4464,42.7336,14z?hl=en","Maplink2")</f>
        <v>Maplink2</v>
      </c>
      <c r="AY1247" s="104" t="str">
        <f>HYPERLINK("http://www.bing.com/maps/?lvl=14&amp;sty=h&amp;cp=36.4464~42.7336&amp;sp=point.36.4464_42.7336","Maplink3")</f>
        <v>Maplink3</v>
      </c>
    </row>
    <row r="1248" spans="1:51" x14ac:dyDescent="0.2">
      <c r="A1248" s="102">
        <v>33252</v>
      </c>
      <c r="B1248" s="103" t="s">
        <v>35</v>
      </c>
      <c r="C1248" s="103" t="s">
        <v>102</v>
      </c>
      <c r="D1248" s="103" t="s">
        <v>2426</v>
      </c>
      <c r="E1248" s="103" t="s">
        <v>2427</v>
      </c>
      <c r="F1248" s="103">
        <v>36.337328989</v>
      </c>
      <c r="G1248" s="103">
        <v>43.106151087299999</v>
      </c>
      <c r="H1248" s="102">
        <v>1351</v>
      </c>
      <c r="I1248" s="102">
        <v>8106</v>
      </c>
      <c r="J1248" s="103"/>
      <c r="K1248" s="103"/>
      <c r="L1248" s="103"/>
      <c r="M1248" s="103">
        <v>1351</v>
      </c>
      <c r="N1248" s="103"/>
      <c r="O1248" s="103"/>
      <c r="P1248" s="103"/>
      <c r="Q1248" s="103"/>
      <c r="R1248" s="103"/>
      <c r="S1248" s="103"/>
      <c r="T1248" s="103"/>
      <c r="U1248" s="103"/>
      <c r="V1248" s="103"/>
      <c r="W1248" s="103"/>
      <c r="X1248" s="103"/>
      <c r="Y1248" s="103">
        <v>10</v>
      </c>
      <c r="Z1248" s="103"/>
      <c r="AA1248" s="103"/>
      <c r="AB1248" s="103"/>
      <c r="AC1248" s="103"/>
      <c r="AD1248" s="103"/>
      <c r="AE1248" s="103"/>
      <c r="AF1248" s="103"/>
      <c r="AG1248" s="103">
        <v>1341</v>
      </c>
      <c r="AH1248" s="103"/>
      <c r="AI1248" s="103"/>
      <c r="AJ1248" s="103"/>
      <c r="AK1248" s="103"/>
      <c r="AL1248" s="103"/>
      <c r="AM1248" s="103"/>
      <c r="AN1248" s="103">
        <v>10</v>
      </c>
      <c r="AO1248" s="103"/>
      <c r="AP1248" s="103"/>
      <c r="AQ1248" s="103"/>
      <c r="AR1248" s="103"/>
      <c r="AS1248" s="103">
        <v>1341</v>
      </c>
      <c r="AT1248" s="103"/>
      <c r="AU1248" s="103"/>
      <c r="AV1248" s="103"/>
      <c r="AW1248" s="104" t="str">
        <f>HYPERLINK("http://www.openstreetmap.org/?mlat=36.3373&amp;mlon=43.1062&amp;zoom=12#map=12/36.3373/43.1062","Maplink1")</f>
        <v>Maplink1</v>
      </c>
      <c r="AX1248" s="104" t="str">
        <f>HYPERLINK("https://www.google.iq/maps/search/+36.3373,43.1062/@36.3373,43.1062,14z?hl=en","Maplink2")</f>
        <v>Maplink2</v>
      </c>
      <c r="AY1248" s="104" t="str">
        <f>HYPERLINK("http://www.bing.com/maps/?lvl=14&amp;sty=h&amp;cp=36.3373~43.1062&amp;sp=point.36.3373_43.1062","Maplink3")</f>
        <v>Maplink3</v>
      </c>
    </row>
    <row r="1249" spans="1:51" x14ac:dyDescent="0.2">
      <c r="A1249" s="102">
        <v>33309</v>
      </c>
      <c r="B1249" s="103" t="s">
        <v>35</v>
      </c>
      <c r="C1249" s="103" t="s">
        <v>102</v>
      </c>
      <c r="D1249" s="103" t="s">
        <v>2428</v>
      </c>
      <c r="E1249" s="103" t="s">
        <v>2429</v>
      </c>
      <c r="F1249" s="103">
        <v>36.409520000000001</v>
      </c>
      <c r="G1249" s="103">
        <v>42.956646245800002</v>
      </c>
      <c r="H1249" s="102">
        <v>164</v>
      </c>
      <c r="I1249" s="102">
        <v>984</v>
      </c>
      <c r="J1249" s="103"/>
      <c r="K1249" s="103"/>
      <c r="L1249" s="103"/>
      <c r="M1249" s="103">
        <v>109</v>
      </c>
      <c r="N1249" s="103">
        <v>55</v>
      </c>
      <c r="O1249" s="103"/>
      <c r="P1249" s="103"/>
      <c r="Q1249" s="103"/>
      <c r="R1249" s="103"/>
      <c r="S1249" s="103"/>
      <c r="T1249" s="103"/>
      <c r="U1249" s="103"/>
      <c r="V1249" s="103"/>
      <c r="W1249" s="103"/>
      <c r="X1249" s="103"/>
      <c r="Y1249" s="103"/>
      <c r="Z1249" s="103"/>
      <c r="AA1249" s="103"/>
      <c r="AB1249" s="103"/>
      <c r="AC1249" s="103"/>
      <c r="AD1249" s="103"/>
      <c r="AE1249" s="103"/>
      <c r="AF1249" s="103"/>
      <c r="AG1249" s="103">
        <v>164</v>
      </c>
      <c r="AH1249" s="103"/>
      <c r="AI1249" s="103"/>
      <c r="AJ1249" s="103"/>
      <c r="AK1249" s="103"/>
      <c r="AL1249" s="103"/>
      <c r="AM1249" s="103"/>
      <c r="AN1249" s="103"/>
      <c r="AO1249" s="103"/>
      <c r="AP1249" s="103"/>
      <c r="AQ1249" s="103"/>
      <c r="AR1249" s="103"/>
      <c r="AS1249" s="103">
        <v>164</v>
      </c>
      <c r="AT1249" s="103"/>
      <c r="AU1249" s="103"/>
      <c r="AV1249" s="103"/>
      <c r="AW1249" s="104" t="str">
        <f>HYPERLINK("http://www.openstreetmap.org/?mlat=36.4095&amp;mlon=42.9566&amp;zoom=12#map=12/36.4095/42.9566","Maplink1")</f>
        <v>Maplink1</v>
      </c>
      <c r="AX1249" s="104" t="str">
        <f>HYPERLINK("https://www.google.iq/maps/search/+36.4095,42.9566/@36.4095,42.9566,14z?hl=en","Maplink2")</f>
        <v>Maplink2</v>
      </c>
      <c r="AY1249" s="104" t="str">
        <f>HYPERLINK("http://www.bing.com/maps/?lvl=14&amp;sty=h&amp;cp=36.4095~42.9566&amp;sp=point.36.4095_42.9566","Maplink3")</f>
        <v>Maplink3</v>
      </c>
    </row>
    <row r="1250" spans="1:51" x14ac:dyDescent="0.2">
      <c r="A1250" s="102">
        <v>17964</v>
      </c>
      <c r="B1250" s="103" t="s">
        <v>35</v>
      </c>
      <c r="C1250" s="103" t="s">
        <v>102</v>
      </c>
      <c r="D1250" s="103" t="s">
        <v>2430</v>
      </c>
      <c r="E1250" s="103" t="s">
        <v>2431</v>
      </c>
      <c r="F1250" s="103">
        <v>35.964246000000003</v>
      </c>
      <c r="G1250" s="103">
        <v>43.2539741513</v>
      </c>
      <c r="H1250" s="102">
        <v>213</v>
      </c>
      <c r="I1250" s="102">
        <v>1278</v>
      </c>
      <c r="J1250" s="103"/>
      <c r="K1250" s="103"/>
      <c r="L1250" s="103"/>
      <c r="M1250" s="103">
        <v>213</v>
      </c>
      <c r="N1250" s="103"/>
      <c r="O1250" s="103"/>
      <c r="P1250" s="103"/>
      <c r="Q1250" s="103"/>
      <c r="R1250" s="103"/>
      <c r="S1250" s="103"/>
      <c r="T1250" s="103"/>
      <c r="U1250" s="103"/>
      <c r="V1250" s="103"/>
      <c r="W1250" s="103"/>
      <c r="X1250" s="103"/>
      <c r="Y1250" s="103"/>
      <c r="Z1250" s="103"/>
      <c r="AA1250" s="103"/>
      <c r="AB1250" s="103"/>
      <c r="AC1250" s="103"/>
      <c r="AD1250" s="103"/>
      <c r="AE1250" s="103"/>
      <c r="AF1250" s="103"/>
      <c r="AG1250" s="103">
        <v>213</v>
      </c>
      <c r="AH1250" s="103"/>
      <c r="AI1250" s="103"/>
      <c r="AJ1250" s="103"/>
      <c r="AK1250" s="103"/>
      <c r="AL1250" s="103"/>
      <c r="AM1250" s="103"/>
      <c r="AN1250" s="103"/>
      <c r="AO1250" s="103"/>
      <c r="AP1250" s="103"/>
      <c r="AQ1250" s="103"/>
      <c r="AR1250" s="103"/>
      <c r="AS1250" s="103">
        <v>213</v>
      </c>
      <c r="AT1250" s="103"/>
      <c r="AU1250" s="103"/>
      <c r="AV1250" s="103"/>
      <c r="AW1250" s="104" t="str">
        <f>HYPERLINK("http://www.openstreetmap.org/?mlat=35.9642&amp;mlon=43.254&amp;zoom=12#map=12/35.9642/43.254","Maplink1")</f>
        <v>Maplink1</v>
      </c>
      <c r="AX1250" s="104" t="str">
        <f>HYPERLINK("https://www.google.iq/maps/search/+35.9642,43.254/@35.9642,43.254,14z?hl=en","Maplink2")</f>
        <v>Maplink2</v>
      </c>
      <c r="AY1250" s="104" t="str">
        <f>HYPERLINK("http://www.bing.com/maps/?lvl=14&amp;sty=h&amp;cp=35.9642~43.254&amp;sp=point.35.9642_43.254","Maplink3")</f>
        <v>Maplink3</v>
      </c>
    </row>
    <row r="1251" spans="1:51" x14ac:dyDescent="0.2">
      <c r="A1251" s="102">
        <v>33603</v>
      </c>
      <c r="B1251" s="103" t="s">
        <v>35</v>
      </c>
      <c r="C1251" s="103" t="s">
        <v>102</v>
      </c>
      <c r="D1251" s="103" t="s">
        <v>2432</v>
      </c>
      <c r="E1251" s="103" t="s">
        <v>2433</v>
      </c>
      <c r="F1251" s="103">
        <v>36.202060000000003</v>
      </c>
      <c r="G1251" s="103">
        <v>42.909930603600003</v>
      </c>
      <c r="H1251" s="102">
        <v>39</v>
      </c>
      <c r="I1251" s="102">
        <v>234</v>
      </c>
      <c r="J1251" s="103"/>
      <c r="K1251" s="103"/>
      <c r="L1251" s="103"/>
      <c r="M1251" s="103">
        <v>37</v>
      </c>
      <c r="N1251" s="103">
        <v>2</v>
      </c>
      <c r="O1251" s="103"/>
      <c r="P1251" s="103"/>
      <c r="Q1251" s="103"/>
      <c r="R1251" s="103"/>
      <c r="S1251" s="103"/>
      <c r="T1251" s="103"/>
      <c r="U1251" s="103"/>
      <c r="V1251" s="103"/>
      <c r="W1251" s="103"/>
      <c r="X1251" s="103"/>
      <c r="Y1251" s="103"/>
      <c r="Z1251" s="103"/>
      <c r="AA1251" s="103"/>
      <c r="AB1251" s="103"/>
      <c r="AC1251" s="103"/>
      <c r="AD1251" s="103"/>
      <c r="AE1251" s="103"/>
      <c r="AF1251" s="103"/>
      <c r="AG1251" s="103">
        <v>39</v>
      </c>
      <c r="AH1251" s="103"/>
      <c r="AI1251" s="103"/>
      <c r="AJ1251" s="103"/>
      <c r="AK1251" s="103"/>
      <c r="AL1251" s="103"/>
      <c r="AM1251" s="103"/>
      <c r="AN1251" s="103"/>
      <c r="AO1251" s="103"/>
      <c r="AP1251" s="103"/>
      <c r="AQ1251" s="103"/>
      <c r="AR1251" s="103"/>
      <c r="AS1251" s="103">
        <v>39</v>
      </c>
      <c r="AT1251" s="103"/>
      <c r="AU1251" s="103"/>
      <c r="AV1251" s="103"/>
      <c r="AW1251" s="104" t="str">
        <f>HYPERLINK("http://www.openstreetmap.org/?mlat=36.2021&amp;mlon=42.9099&amp;zoom=12#map=12/36.2021/42.9099","Maplink1")</f>
        <v>Maplink1</v>
      </c>
      <c r="AX1251" s="104" t="str">
        <f>HYPERLINK("https://www.google.iq/maps/search/+36.2021,42.9099/@36.2021,42.9099,14z?hl=en","Maplink2")</f>
        <v>Maplink2</v>
      </c>
      <c r="AY1251" s="104" t="str">
        <f>HYPERLINK("http://www.bing.com/maps/?lvl=14&amp;sty=h&amp;cp=36.2021~42.9099&amp;sp=point.36.2021_42.9099","Maplink3")</f>
        <v>Maplink3</v>
      </c>
    </row>
    <row r="1252" spans="1:51" x14ac:dyDescent="0.2">
      <c r="A1252" s="102">
        <v>18330</v>
      </c>
      <c r="B1252" s="103" t="s">
        <v>35</v>
      </c>
      <c r="C1252" s="103" t="s">
        <v>102</v>
      </c>
      <c r="D1252" s="103" t="s">
        <v>2519</v>
      </c>
      <c r="E1252" s="103" t="s">
        <v>2520</v>
      </c>
      <c r="F1252" s="103">
        <v>36.3152504691</v>
      </c>
      <c r="G1252" s="103">
        <v>43.118090369500003</v>
      </c>
      <c r="H1252" s="102">
        <v>712</v>
      </c>
      <c r="I1252" s="102">
        <v>4272</v>
      </c>
      <c r="J1252" s="103"/>
      <c r="K1252" s="103"/>
      <c r="L1252" s="103"/>
      <c r="M1252" s="103">
        <v>712</v>
      </c>
      <c r="N1252" s="103"/>
      <c r="O1252" s="103"/>
      <c r="P1252" s="103"/>
      <c r="Q1252" s="103"/>
      <c r="R1252" s="103"/>
      <c r="S1252" s="103"/>
      <c r="T1252" s="103"/>
      <c r="U1252" s="103"/>
      <c r="V1252" s="103"/>
      <c r="W1252" s="103"/>
      <c r="X1252" s="103"/>
      <c r="Y1252" s="103">
        <v>3</v>
      </c>
      <c r="Z1252" s="103"/>
      <c r="AA1252" s="103">
        <v>5</v>
      </c>
      <c r="AB1252" s="103"/>
      <c r="AC1252" s="103"/>
      <c r="AD1252" s="103"/>
      <c r="AE1252" s="103"/>
      <c r="AF1252" s="103"/>
      <c r="AG1252" s="103">
        <v>704</v>
      </c>
      <c r="AH1252" s="103"/>
      <c r="AI1252" s="103"/>
      <c r="AJ1252" s="103"/>
      <c r="AK1252" s="103"/>
      <c r="AL1252" s="103"/>
      <c r="AM1252" s="103"/>
      <c r="AN1252" s="103">
        <v>8</v>
      </c>
      <c r="AO1252" s="103"/>
      <c r="AP1252" s="103"/>
      <c r="AQ1252" s="103"/>
      <c r="AR1252" s="103"/>
      <c r="AS1252" s="103">
        <v>704</v>
      </c>
      <c r="AT1252" s="103"/>
      <c r="AU1252" s="103"/>
      <c r="AV1252" s="103"/>
      <c r="AW1252" s="104" t="str">
        <f>HYPERLINK("http://www.openstreetmap.org/?mlat=36.3153&amp;mlon=43.1181&amp;zoom=12#map=12/36.3153/43.1181","Maplink1")</f>
        <v>Maplink1</v>
      </c>
      <c r="AX1252" s="104" t="str">
        <f>HYPERLINK("https://www.google.iq/maps/search/+36.3153,43.1181/@36.3153,43.1181,14z?hl=en","Maplink2")</f>
        <v>Maplink2</v>
      </c>
      <c r="AY1252" s="104" t="str">
        <f>HYPERLINK("http://www.bing.com/maps/?lvl=14&amp;sty=h&amp;cp=36.3153~43.1181&amp;sp=point.36.3153_43.1181","Maplink3")</f>
        <v>Maplink3</v>
      </c>
    </row>
    <row r="1253" spans="1:51" x14ac:dyDescent="0.2">
      <c r="A1253" s="102">
        <v>33273</v>
      </c>
      <c r="B1253" s="103" t="s">
        <v>35</v>
      </c>
      <c r="C1253" s="103" t="s">
        <v>102</v>
      </c>
      <c r="D1253" s="103" t="s">
        <v>2521</v>
      </c>
      <c r="E1253" s="103" t="s">
        <v>2522</v>
      </c>
      <c r="F1253" s="103">
        <v>36.442219999999999</v>
      </c>
      <c r="G1253" s="103">
        <v>42.9465684854</v>
      </c>
      <c r="H1253" s="102">
        <v>150</v>
      </c>
      <c r="I1253" s="102">
        <v>900</v>
      </c>
      <c r="J1253" s="103"/>
      <c r="K1253" s="103"/>
      <c r="L1253" s="103"/>
      <c r="M1253" s="103">
        <v>150</v>
      </c>
      <c r="N1253" s="103"/>
      <c r="O1253" s="103"/>
      <c r="P1253" s="103"/>
      <c r="Q1253" s="103"/>
      <c r="R1253" s="103"/>
      <c r="S1253" s="103"/>
      <c r="T1253" s="103"/>
      <c r="U1253" s="103"/>
      <c r="V1253" s="103"/>
      <c r="W1253" s="103"/>
      <c r="X1253" s="103"/>
      <c r="Y1253" s="103"/>
      <c r="Z1253" s="103"/>
      <c r="AA1253" s="103"/>
      <c r="AB1253" s="103"/>
      <c r="AC1253" s="103"/>
      <c r="AD1253" s="103"/>
      <c r="AE1253" s="103"/>
      <c r="AF1253" s="103"/>
      <c r="AG1253" s="103">
        <v>150</v>
      </c>
      <c r="AH1253" s="103"/>
      <c r="AI1253" s="103"/>
      <c r="AJ1253" s="103"/>
      <c r="AK1253" s="103"/>
      <c r="AL1253" s="103"/>
      <c r="AM1253" s="103"/>
      <c r="AN1253" s="103"/>
      <c r="AO1253" s="103"/>
      <c r="AP1253" s="103"/>
      <c r="AQ1253" s="103"/>
      <c r="AR1253" s="103"/>
      <c r="AS1253" s="103"/>
      <c r="AT1253" s="103">
        <v>150</v>
      </c>
      <c r="AU1253" s="103"/>
      <c r="AV1253" s="103"/>
      <c r="AW1253" s="104" t="str">
        <f>HYPERLINK("http://www.openstreetmap.org/?mlat=36.4422&amp;mlon=42.9466&amp;zoom=12#map=12/36.4422/42.9466","Maplink1")</f>
        <v>Maplink1</v>
      </c>
      <c r="AX1253" s="104" t="str">
        <f>HYPERLINK("https://www.google.iq/maps/search/+36.4422,42.9466/@36.4422,42.9466,14z?hl=en","Maplink2")</f>
        <v>Maplink2</v>
      </c>
      <c r="AY1253" s="104" t="str">
        <f>HYPERLINK("http://www.bing.com/maps/?lvl=14&amp;sty=h&amp;cp=36.4422~42.9466&amp;sp=point.36.4422_42.9466","Maplink3")</f>
        <v>Maplink3</v>
      </c>
    </row>
    <row r="1254" spans="1:51" x14ac:dyDescent="0.2">
      <c r="A1254" s="102">
        <v>33404</v>
      </c>
      <c r="B1254" s="103" t="s">
        <v>35</v>
      </c>
      <c r="C1254" s="103" t="s">
        <v>102</v>
      </c>
      <c r="D1254" s="103" t="s">
        <v>2523</v>
      </c>
      <c r="E1254" s="103" t="s">
        <v>2524</v>
      </c>
      <c r="F1254" s="103">
        <v>36.384447000000002</v>
      </c>
      <c r="G1254" s="103">
        <v>42.996177344099998</v>
      </c>
      <c r="H1254" s="102">
        <v>45</v>
      </c>
      <c r="I1254" s="102">
        <v>270</v>
      </c>
      <c r="J1254" s="103"/>
      <c r="K1254" s="103"/>
      <c r="L1254" s="103"/>
      <c r="M1254" s="103">
        <v>39</v>
      </c>
      <c r="N1254" s="103">
        <v>6</v>
      </c>
      <c r="O1254" s="103"/>
      <c r="P1254" s="103"/>
      <c r="Q1254" s="103"/>
      <c r="R1254" s="103"/>
      <c r="S1254" s="103"/>
      <c r="T1254" s="103"/>
      <c r="U1254" s="103"/>
      <c r="V1254" s="103"/>
      <c r="W1254" s="103"/>
      <c r="X1254" s="103"/>
      <c r="Y1254" s="103"/>
      <c r="Z1254" s="103"/>
      <c r="AA1254" s="103"/>
      <c r="AB1254" s="103"/>
      <c r="AC1254" s="103"/>
      <c r="AD1254" s="103"/>
      <c r="AE1254" s="103"/>
      <c r="AF1254" s="103"/>
      <c r="AG1254" s="103">
        <v>45</v>
      </c>
      <c r="AH1254" s="103"/>
      <c r="AI1254" s="103"/>
      <c r="AJ1254" s="103"/>
      <c r="AK1254" s="103"/>
      <c r="AL1254" s="103"/>
      <c r="AM1254" s="103"/>
      <c r="AN1254" s="103"/>
      <c r="AO1254" s="103"/>
      <c r="AP1254" s="103"/>
      <c r="AQ1254" s="103"/>
      <c r="AR1254" s="103"/>
      <c r="AS1254" s="103">
        <v>45</v>
      </c>
      <c r="AT1254" s="103"/>
      <c r="AU1254" s="103"/>
      <c r="AV1254" s="103"/>
      <c r="AW1254" s="104" t="str">
        <f>HYPERLINK("http://www.openstreetmap.org/?mlat=36.3844&amp;mlon=42.9962&amp;zoom=12#map=12/36.3844/42.9962","Maplink1")</f>
        <v>Maplink1</v>
      </c>
      <c r="AX1254" s="104" t="str">
        <f>HYPERLINK("https://www.google.iq/maps/search/+36.3844,42.9962/@36.3844,42.9962,14z?hl=en","Maplink2")</f>
        <v>Maplink2</v>
      </c>
      <c r="AY1254" s="104" t="str">
        <f>HYPERLINK("http://www.bing.com/maps/?lvl=14&amp;sty=h&amp;cp=36.3844~42.9962&amp;sp=point.36.3844_42.9962","Maplink3")</f>
        <v>Maplink3</v>
      </c>
    </row>
    <row r="1255" spans="1:51" x14ac:dyDescent="0.2">
      <c r="A1255" s="102">
        <v>17970</v>
      </c>
      <c r="B1255" s="103" t="s">
        <v>35</v>
      </c>
      <c r="C1255" s="103" t="s">
        <v>102</v>
      </c>
      <c r="D1255" s="103" t="s">
        <v>2525</v>
      </c>
      <c r="E1255" s="103" t="s">
        <v>2526</v>
      </c>
      <c r="F1255" s="103">
        <v>36.153342000000002</v>
      </c>
      <c r="G1255" s="103">
        <v>42.820478999999999</v>
      </c>
      <c r="H1255" s="102">
        <v>30</v>
      </c>
      <c r="I1255" s="102">
        <v>180</v>
      </c>
      <c r="J1255" s="103"/>
      <c r="K1255" s="103"/>
      <c r="L1255" s="103"/>
      <c r="M1255" s="103">
        <v>21</v>
      </c>
      <c r="N1255" s="103">
        <v>9</v>
      </c>
      <c r="O1255" s="103"/>
      <c r="P1255" s="103"/>
      <c r="Q1255" s="103"/>
      <c r="R1255" s="103"/>
      <c r="S1255" s="103"/>
      <c r="T1255" s="103"/>
      <c r="U1255" s="103"/>
      <c r="V1255" s="103"/>
      <c r="W1255" s="103"/>
      <c r="X1255" s="103"/>
      <c r="Y1255" s="103"/>
      <c r="Z1255" s="103"/>
      <c r="AA1255" s="103"/>
      <c r="AB1255" s="103"/>
      <c r="AC1255" s="103"/>
      <c r="AD1255" s="103"/>
      <c r="AE1255" s="103"/>
      <c r="AF1255" s="103"/>
      <c r="AG1255" s="103">
        <v>30</v>
      </c>
      <c r="AH1255" s="103"/>
      <c r="AI1255" s="103"/>
      <c r="AJ1255" s="103"/>
      <c r="AK1255" s="103"/>
      <c r="AL1255" s="103"/>
      <c r="AM1255" s="103"/>
      <c r="AN1255" s="103"/>
      <c r="AO1255" s="103"/>
      <c r="AP1255" s="103"/>
      <c r="AQ1255" s="103"/>
      <c r="AR1255" s="103"/>
      <c r="AS1255" s="103">
        <v>30</v>
      </c>
      <c r="AT1255" s="103"/>
      <c r="AU1255" s="103"/>
      <c r="AV1255" s="103"/>
      <c r="AW1255" s="104" t="str">
        <f>HYPERLINK("http://www.openstreetmap.org/?mlat=36.1533&amp;mlon=42.8205&amp;zoom=12#map=12/36.1533/42.8205","Maplink1")</f>
        <v>Maplink1</v>
      </c>
      <c r="AX1255" s="104" t="str">
        <f>HYPERLINK("https://www.google.iq/maps/search/+36.1533,42.8205/@36.1533,42.8205,14z?hl=en","Maplink2")</f>
        <v>Maplink2</v>
      </c>
      <c r="AY1255" s="104" t="str">
        <f>HYPERLINK("http://www.bing.com/maps/?lvl=14&amp;sty=h&amp;cp=36.1533~42.8205&amp;sp=point.36.1533_42.8205","Maplink3")</f>
        <v>Maplink3</v>
      </c>
    </row>
    <row r="1256" spans="1:51" x14ac:dyDescent="0.2">
      <c r="A1256" s="102">
        <v>33604</v>
      </c>
      <c r="B1256" s="103" t="s">
        <v>35</v>
      </c>
      <c r="C1256" s="103" t="s">
        <v>102</v>
      </c>
      <c r="D1256" s="103" t="s">
        <v>2527</v>
      </c>
      <c r="E1256" s="103" t="s">
        <v>2528</v>
      </c>
      <c r="F1256" s="103">
        <v>36.258451000000001</v>
      </c>
      <c r="G1256" s="103">
        <v>42.709958967299997</v>
      </c>
      <c r="H1256" s="102">
        <v>213</v>
      </c>
      <c r="I1256" s="102">
        <v>1278</v>
      </c>
      <c r="J1256" s="103"/>
      <c r="K1256" s="103"/>
      <c r="L1256" s="103"/>
      <c r="M1256" s="103">
        <v>203</v>
      </c>
      <c r="N1256" s="103">
        <v>10</v>
      </c>
      <c r="O1256" s="103"/>
      <c r="P1256" s="103"/>
      <c r="Q1256" s="103"/>
      <c r="R1256" s="103"/>
      <c r="S1256" s="103"/>
      <c r="T1256" s="103"/>
      <c r="U1256" s="103"/>
      <c r="V1256" s="103"/>
      <c r="W1256" s="103"/>
      <c r="X1256" s="103"/>
      <c r="Y1256" s="103"/>
      <c r="Z1256" s="103"/>
      <c r="AA1256" s="103"/>
      <c r="AB1256" s="103"/>
      <c r="AC1256" s="103"/>
      <c r="AD1256" s="103"/>
      <c r="AE1256" s="103"/>
      <c r="AF1256" s="103"/>
      <c r="AG1256" s="103">
        <v>213</v>
      </c>
      <c r="AH1256" s="103"/>
      <c r="AI1256" s="103"/>
      <c r="AJ1256" s="103"/>
      <c r="AK1256" s="103"/>
      <c r="AL1256" s="103"/>
      <c r="AM1256" s="103"/>
      <c r="AN1256" s="103"/>
      <c r="AO1256" s="103"/>
      <c r="AP1256" s="103"/>
      <c r="AQ1256" s="103"/>
      <c r="AR1256" s="103"/>
      <c r="AS1256" s="103">
        <v>213</v>
      </c>
      <c r="AT1256" s="103"/>
      <c r="AU1256" s="103"/>
      <c r="AV1256" s="103"/>
      <c r="AW1256" s="104" t="str">
        <f>HYPERLINK("http://www.openstreetmap.org/?mlat=36.2585&amp;mlon=42.71&amp;zoom=12#map=12/36.2585/42.71","Maplink1")</f>
        <v>Maplink1</v>
      </c>
      <c r="AX1256" s="104" t="str">
        <f>HYPERLINK("https://www.google.iq/maps/search/+36.2585,42.71/@36.2585,42.71,14z?hl=en","Maplink2")</f>
        <v>Maplink2</v>
      </c>
      <c r="AY1256" s="104" t="str">
        <f>HYPERLINK("http://www.bing.com/maps/?lvl=14&amp;sty=h&amp;cp=36.2585~42.71&amp;sp=point.36.2585_42.71","Maplink3")</f>
        <v>Maplink3</v>
      </c>
    </row>
    <row r="1257" spans="1:51" x14ac:dyDescent="0.2">
      <c r="A1257" s="102">
        <v>18357</v>
      </c>
      <c r="B1257" s="103" t="s">
        <v>35</v>
      </c>
      <c r="C1257" s="103" t="s">
        <v>102</v>
      </c>
      <c r="D1257" s="103" t="s">
        <v>2370</v>
      </c>
      <c r="E1257" s="103" t="s">
        <v>2371</v>
      </c>
      <c r="F1257" s="103">
        <v>36.389961654399997</v>
      </c>
      <c r="G1257" s="103">
        <v>43.169555641800002</v>
      </c>
      <c r="H1257" s="102">
        <v>354</v>
      </c>
      <c r="I1257" s="102">
        <v>2124</v>
      </c>
      <c r="J1257" s="103"/>
      <c r="K1257" s="103"/>
      <c r="L1257" s="103"/>
      <c r="M1257" s="103">
        <v>354</v>
      </c>
      <c r="N1257" s="103"/>
      <c r="O1257" s="103"/>
      <c r="P1257" s="103"/>
      <c r="Q1257" s="103"/>
      <c r="R1257" s="103"/>
      <c r="S1257" s="103"/>
      <c r="T1257" s="103"/>
      <c r="U1257" s="103"/>
      <c r="V1257" s="103"/>
      <c r="W1257" s="103">
        <v>6</v>
      </c>
      <c r="X1257" s="103"/>
      <c r="Y1257" s="103">
        <v>18</v>
      </c>
      <c r="Z1257" s="103"/>
      <c r="AA1257" s="103">
        <v>33</v>
      </c>
      <c r="AB1257" s="103"/>
      <c r="AC1257" s="103">
        <v>8</v>
      </c>
      <c r="AD1257" s="103"/>
      <c r="AE1257" s="103"/>
      <c r="AF1257" s="103"/>
      <c r="AG1257" s="103">
        <v>285</v>
      </c>
      <c r="AH1257" s="103"/>
      <c r="AI1257" s="103"/>
      <c r="AJ1257" s="103">
        <v>4</v>
      </c>
      <c r="AK1257" s="103"/>
      <c r="AL1257" s="103"/>
      <c r="AM1257" s="103"/>
      <c r="AN1257" s="103">
        <v>69</v>
      </c>
      <c r="AO1257" s="103"/>
      <c r="AP1257" s="103"/>
      <c r="AQ1257" s="103"/>
      <c r="AR1257" s="103"/>
      <c r="AS1257" s="103">
        <v>285</v>
      </c>
      <c r="AT1257" s="103"/>
      <c r="AU1257" s="103"/>
      <c r="AV1257" s="103"/>
      <c r="AW1257" s="104" t="str">
        <f>HYPERLINK("http://www.openstreetmap.org/?mlat=36.39&amp;mlon=43.1696&amp;zoom=12#map=12/36.39/43.1696","Maplink1")</f>
        <v>Maplink1</v>
      </c>
      <c r="AX1257" s="104" t="str">
        <f>HYPERLINK("https://www.google.iq/maps/search/+36.39,43.1696/@36.39,43.1696,14z?hl=en","Maplink2")</f>
        <v>Maplink2</v>
      </c>
      <c r="AY1257" s="104" t="str">
        <f>HYPERLINK("http://www.bing.com/maps/?lvl=14&amp;sty=h&amp;cp=36.39~43.1696&amp;sp=point.36.39_43.1696","Maplink3")</f>
        <v>Maplink3</v>
      </c>
    </row>
    <row r="1258" spans="1:51" x14ac:dyDescent="0.2">
      <c r="A1258" s="102">
        <v>31938</v>
      </c>
      <c r="B1258" s="103" t="s">
        <v>35</v>
      </c>
      <c r="C1258" s="103" t="s">
        <v>102</v>
      </c>
      <c r="D1258" s="103" t="s">
        <v>2372</v>
      </c>
      <c r="E1258" s="103" t="s">
        <v>2373</v>
      </c>
      <c r="F1258" s="103">
        <v>35.725919084499999</v>
      </c>
      <c r="G1258" s="103">
        <v>43.3272681758</v>
      </c>
      <c r="H1258" s="102">
        <v>400</v>
      </c>
      <c r="I1258" s="102">
        <v>2400</v>
      </c>
      <c r="J1258" s="103"/>
      <c r="K1258" s="103"/>
      <c r="L1258" s="103"/>
      <c r="M1258" s="103">
        <v>350</v>
      </c>
      <c r="N1258" s="103">
        <v>50</v>
      </c>
      <c r="O1258" s="103"/>
      <c r="P1258" s="103"/>
      <c r="Q1258" s="103"/>
      <c r="R1258" s="103"/>
      <c r="S1258" s="103"/>
      <c r="T1258" s="103"/>
      <c r="U1258" s="103"/>
      <c r="V1258" s="103"/>
      <c r="W1258" s="103"/>
      <c r="X1258" s="103"/>
      <c r="Y1258" s="103"/>
      <c r="Z1258" s="103"/>
      <c r="AA1258" s="103">
        <v>300</v>
      </c>
      <c r="AB1258" s="103"/>
      <c r="AC1258" s="103">
        <v>100</v>
      </c>
      <c r="AD1258" s="103"/>
      <c r="AE1258" s="103"/>
      <c r="AF1258" s="103"/>
      <c r="AG1258" s="103"/>
      <c r="AH1258" s="103"/>
      <c r="AI1258" s="103"/>
      <c r="AJ1258" s="103"/>
      <c r="AK1258" s="103"/>
      <c r="AL1258" s="103"/>
      <c r="AM1258" s="103"/>
      <c r="AN1258" s="103"/>
      <c r="AO1258" s="103"/>
      <c r="AP1258" s="103"/>
      <c r="AQ1258" s="103"/>
      <c r="AR1258" s="103">
        <v>400</v>
      </c>
      <c r="AS1258" s="103"/>
      <c r="AT1258" s="103"/>
      <c r="AU1258" s="103"/>
      <c r="AV1258" s="103"/>
      <c r="AW1258" s="104" t="str">
        <f>HYPERLINK("http://www.openstreetmap.org/?mlat=35.7259&amp;mlon=43.3273&amp;zoom=12#map=12/35.7259/43.3273","Maplink1")</f>
        <v>Maplink1</v>
      </c>
      <c r="AX1258" s="104" t="str">
        <f>HYPERLINK("https://www.google.iq/maps/search/+35.7259,43.3273/@35.7259,43.3273,14z?hl=en","Maplink2")</f>
        <v>Maplink2</v>
      </c>
      <c r="AY1258" s="104" t="str">
        <f>HYPERLINK("http://www.bing.com/maps/?lvl=14&amp;sty=h&amp;cp=35.7259~43.3273&amp;sp=point.35.7259_43.3273","Maplink3")</f>
        <v>Maplink3</v>
      </c>
    </row>
    <row r="1259" spans="1:51" x14ac:dyDescent="0.2">
      <c r="A1259" s="102">
        <v>31994</v>
      </c>
      <c r="B1259" s="103" t="s">
        <v>35</v>
      </c>
      <c r="C1259" s="103" t="s">
        <v>102</v>
      </c>
      <c r="D1259" s="103" t="s">
        <v>2374</v>
      </c>
      <c r="E1259" s="103" t="s">
        <v>2375</v>
      </c>
      <c r="F1259" s="103">
        <v>36.226103712899999</v>
      </c>
      <c r="G1259" s="103">
        <v>43.162026967700001</v>
      </c>
      <c r="H1259" s="102">
        <v>55</v>
      </c>
      <c r="I1259" s="102">
        <v>330</v>
      </c>
      <c r="J1259" s="103"/>
      <c r="K1259" s="103"/>
      <c r="L1259" s="103"/>
      <c r="M1259" s="103">
        <v>55</v>
      </c>
      <c r="N1259" s="103"/>
      <c r="O1259" s="103"/>
      <c r="P1259" s="103"/>
      <c r="Q1259" s="103"/>
      <c r="R1259" s="103"/>
      <c r="S1259" s="103"/>
      <c r="T1259" s="103"/>
      <c r="U1259" s="103"/>
      <c r="V1259" s="103"/>
      <c r="W1259" s="103"/>
      <c r="X1259" s="103"/>
      <c r="Y1259" s="103"/>
      <c r="Z1259" s="103"/>
      <c r="AA1259" s="103"/>
      <c r="AB1259" s="103"/>
      <c r="AC1259" s="103"/>
      <c r="AD1259" s="103"/>
      <c r="AE1259" s="103"/>
      <c r="AF1259" s="103"/>
      <c r="AG1259" s="103">
        <v>55</v>
      </c>
      <c r="AH1259" s="103"/>
      <c r="AI1259" s="103"/>
      <c r="AJ1259" s="103"/>
      <c r="AK1259" s="103"/>
      <c r="AL1259" s="103"/>
      <c r="AM1259" s="103"/>
      <c r="AN1259" s="103"/>
      <c r="AO1259" s="103"/>
      <c r="AP1259" s="103"/>
      <c r="AQ1259" s="103"/>
      <c r="AR1259" s="103"/>
      <c r="AS1259" s="103">
        <v>55</v>
      </c>
      <c r="AT1259" s="103"/>
      <c r="AU1259" s="103"/>
      <c r="AV1259" s="103"/>
      <c r="AW1259" s="104" t="str">
        <f>HYPERLINK("http://www.openstreetmap.org/?mlat=36.2261&amp;mlon=43.162&amp;zoom=12#map=12/36.2261/43.162","Maplink1")</f>
        <v>Maplink1</v>
      </c>
      <c r="AX1259" s="104" t="str">
        <f>HYPERLINK("https://www.google.iq/maps/search/+36.2261,43.162/@36.2261,43.162,14z?hl=en","Maplink2")</f>
        <v>Maplink2</v>
      </c>
      <c r="AY1259" s="104" t="str">
        <f>HYPERLINK("http://www.bing.com/maps/?lvl=14&amp;sty=h&amp;cp=36.2261~43.162&amp;sp=point.36.2261_43.162","Maplink3")</f>
        <v>Maplink3</v>
      </c>
    </row>
    <row r="1260" spans="1:51" x14ac:dyDescent="0.2">
      <c r="A1260" s="102">
        <v>17425</v>
      </c>
      <c r="B1260" s="103" t="s">
        <v>35</v>
      </c>
      <c r="C1260" s="103" t="s">
        <v>102</v>
      </c>
      <c r="D1260" s="103" t="s">
        <v>2376</v>
      </c>
      <c r="E1260" s="103" t="s">
        <v>2377</v>
      </c>
      <c r="F1260" s="103">
        <v>36.241661999999998</v>
      </c>
      <c r="G1260" s="103">
        <v>42.798575607399997</v>
      </c>
      <c r="H1260" s="102">
        <v>70</v>
      </c>
      <c r="I1260" s="102">
        <v>420</v>
      </c>
      <c r="J1260" s="103"/>
      <c r="K1260" s="103"/>
      <c r="L1260" s="103"/>
      <c r="M1260" s="103">
        <v>53</v>
      </c>
      <c r="N1260" s="103">
        <v>17</v>
      </c>
      <c r="O1260" s="103"/>
      <c r="P1260" s="103"/>
      <c r="Q1260" s="103"/>
      <c r="R1260" s="103"/>
      <c r="S1260" s="103"/>
      <c r="T1260" s="103"/>
      <c r="U1260" s="103"/>
      <c r="V1260" s="103"/>
      <c r="W1260" s="103"/>
      <c r="X1260" s="103"/>
      <c r="Y1260" s="103"/>
      <c r="Z1260" s="103"/>
      <c r="AA1260" s="103"/>
      <c r="AB1260" s="103"/>
      <c r="AC1260" s="103"/>
      <c r="AD1260" s="103"/>
      <c r="AE1260" s="103"/>
      <c r="AF1260" s="103"/>
      <c r="AG1260" s="103">
        <v>70</v>
      </c>
      <c r="AH1260" s="103"/>
      <c r="AI1260" s="103"/>
      <c r="AJ1260" s="103"/>
      <c r="AK1260" s="103"/>
      <c r="AL1260" s="103"/>
      <c r="AM1260" s="103"/>
      <c r="AN1260" s="103"/>
      <c r="AO1260" s="103"/>
      <c r="AP1260" s="103"/>
      <c r="AQ1260" s="103"/>
      <c r="AR1260" s="103"/>
      <c r="AS1260" s="103">
        <v>70</v>
      </c>
      <c r="AT1260" s="103"/>
      <c r="AU1260" s="103"/>
      <c r="AV1260" s="103"/>
      <c r="AW1260" s="104" t="str">
        <f>HYPERLINK("http://www.openstreetmap.org/?mlat=36.2417&amp;mlon=42.7986&amp;zoom=12#map=12/36.2417/42.7986","Maplink1")</f>
        <v>Maplink1</v>
      </c>
      <c r="AX1260" s="104" t="str">
        <f>HYPERLINK("https://www.google.iq/maps/search/+36.2417,42.7986/@36.2417,42.7986,14z?hl=en","Maplink2")</f>
        <v>Maplink2</v>
      </c>
      <c r="AY1260" s="104" t="str">
        <f>HYPERLINK("http://www.bing.com/maps/?lvl=14&amp;sty=h&amp;cp=36.2417~42.7986&amp;sp=point.36.2417_42.7986","Maplink3")</f>
        <v>Maplink3</v>
      </c>
    </row>
    <row r="1261" spans="1:51" x14ac:dyDescent="0.2">
      <c r="A1261" s="102">
        <v>18013</v>
      </c>
      <c r="B1261" s="103" t="s">
        <v>35</v>
      </c>
      <c r="C1261" s="103" t="s">
        <v>102</v>
      </c>
      <c r="D1261" s="103" t="s">
        <v>2378</v>
      </c>
      <c r="E1261" s="103" t="s">
        <v>2379</v>
      </c>
      <c r="F1261" s="103">
        <v>36.178195000000002</v>
      </c>
      <c r="G1261" s="103">
        <v>42.734862277399998</v>
      </c>
      <c r="H1261" s="102">
        <v>134</v>
      </c>
      <c r="I1261" s="102">
        <v>804</v>
      </c>
      <c r="J1261" s="103"/>
      <c r="K1261" s="103"/>
      <c r="L1261" s="103"/>
      <c r="M1261" s="103">
        <v>90</v>
      </c>
      <c r="N1261" s="103">
        <v>44</v>
      </c>
      <c r="O1261" s="103"/>
      <c r="P1261" s="103"/>
      <c r="Q1261" s="103"/>
      <c r="R1261" s="103"/>
      <c r="S1261" s="103"/>
      <c r="T1261" s="103"/>
      <c r="U1261" s="103"/>
      <c r="V1261" s="103"/>
      <c r="W1261" s="103"/>
      <c r="X1261" s="103"/>
      <c r="Y1261" s="103"/>
      <c r="Z1261" s="103"/>
      <c r="AA1261" s="103"/>
      <c r="AB1261" s="103"/>
      <c r="AC1261" s="103"/>
      <c r="AD1261" s="103"/>
      <c r="AE1261" s="103"/>
      <c r="AF1261" s="103"/>
      <c r="AG1261" s="103">
        <v>134</v>
      </c>
      <c r="AH1261" s="103"/>
      <c r="AI1261" s="103"/>
      <c r="AJ1261" s="103"/>
      <c r="AK1261" s="103"/>
      <c r="AL1261" s="103"/>
      <c r="AM1261" s="103"/>
      <c r="AN1261" s="103"/>
      <c r="AO1261" s="103"/>
      <c r="AP1261" s="103"/>
      <c r="AQ1261" s="103"/>
      <c r="AR1261" s="103"/>
      <c r="AS1261" s="103">
        <v>134</v>
      </c>
      <c r="AT1261" s="103"/>
      <c r="AU1261" s="103"/>
      <c r="AV1261" s="103"/>
      <c r="AW1261" s="104" t="str">
        <f>HYPERLINK("http://www.openstreetmap.org/?mlat=36.1782&amp;mlon=42.7349&amp;zoom=12#map=12/36.1782/42.7349","Maplink1")</f>
        <v>Maplink1</v>
      </c>
      <c r="AX1261" s="104" t="str">
        <f>HYPERLINK("https://www.google.iq/maps/search/+36.1782,42.7349/@36.1782,42.7349,14z?hl=en","Maplink2")</f>
        <v>Maplink2</v>
      </c>
      <c r="AY1261" s="104" t="str">
        <f>HYPERLINK("http://www.bing.com/maps/?lvl=14&amp;sty=h&amp;cp=36.1782~42.7349&amp;sp=point.36.1782_42.7349","Maplink3")</f>
        <v>Maplink3</v>
      </c>
    </row>
    <row r="1262" spans="1:51" x14ac:dyDescent="0.2">
      <c r="A1262" s="102">
        <v>33605</v>
      </c>
      <c r="B1262" s="103" t="s">
        <v>35</v>
      </c>
      <c r="C1262" s="103" t="s">
        <v>102</v>
      </c>
      <c r="D1262" s="103" t="s">
        <v>2380</v>
      </c>
      <c r="E1262" s="103" t="s">
        <v>2381</v>
      </c>
      <c r="F1262" s="103">
        <v>36.388786000000003</v>
      </c>
      <c r="G1262" s="103">
        <v>43.445430793500002</v>
      </c>
      <c r="H1262" s="102">
        <v>120</v>
      </c>
      <c r="I1262" s="102">
        <v>720</v>
      </c>
      <c r="J1262" s="103"/>
      <c r="K1262" s="103"/>
      <c r="L1262" s="103"/>
      <c r="M1262" s="103">
        <v>120</v>
      </c>
      <c r="N1262" s="103"/>
      <c r="O1262" s="103"/>
      <c r="P1262" s="103"/>
      <c r="Q1262" s="103"/>
      <c r="R1262" s="103"/>
      <c r="S1262" s="103"/>
      <c r="T1262" s="103"/>
      <c r="U1262" s="103"/>
      <c r="V1262" s="103"/>
      <c r="W1262" s="103"/>
      <c r="X1262" s="103"/>
      <c r="Y1262" s="103"/>
      <c r="Z1262" s="103"/>
      <c r="AA1262" s="103">
        <v>30</v>
      </c>
      <c r="AB1262" s="103"/>
      <c r="AC1262" s="103">
        <v>20</v>
      </c>
      <c r="AD1262" s="103"/>
      <c r="AE1262" s="103"/>
      <c r="AF1262" s="103"/>
      <c r="AG1262" s="103">
        <v>70</v>
      </c>
      <c r="AH1262" s="103"/>
      <c r="AI1262" s="103"/>
      <c r="AJ1262" s="103"/>
      <c r="AK1262" s="103"/>
      <c r="AL1262" s="103"/>
      <c r="AM1262" s="103"/>
      <c r="AN1262" s="103"/>
      <c r="AO1262" s="103">
        <v>120</v>
      </c>
      <c r="AP1262" s="103"/>
      <c r="AQ1262" s="103"/>
      <c r="AR1262" s="103"/>
      <c r="AS1262" s="103"/>
      <c r="AT1262" s="103"/>
      <c r="AU1262" s="103"/>
      <c r="AV1262" s="103"/>
      <c r="AW1262" s="104" t="str">
        <f>HYPERLINK("http://www.openstreetmap.org/?mlat=36.3888&amp;mlon=43.4454&amp;zoom=12#map=12/36.3888/43.4454","Maplink1")</f>
        <v>Maplink1</v>
      </c>
      <c r="AX1262" s="104" t="str">
        <f>HYPERLINK("https://www.google.iq/maps/search/+36.3888,43.4454/@36.3888,43.4454,14z?hl=en","Maplink2")</f>
        <v>Maplink2</v>
      </c>
      <c r="AY1262" s="104" t="str">
        <f>HYPERLINK("http://www.bing.com/maps/?lvl=14&amp;sty=h&amp;cp=36.3888~43.4454&amp;sp=point.36.3888_43.4454","Maplink3")</f>
        <v>Maplink3</v>
      </c>
    </row>
    <row r="1263" spans="1:51" x14ac:dyDescent="0.2">
      <c r="A1263" s="102">
        <v>33704</v>
      </c>
      <c r="B1263" s="103" t="s">
        <v>35</v>
      </c>
      <c r="C1263" s="103" t="s">
        <v>102</v>
      </c>
      <c r="D1263" s="103" t="s">
        <v>2382</v>
      </c>
      <c r="E1263" s="103" t="s">
        <v>2383</v>
      </c>
      <c r="F1263" s="103">
        <v>36.139658900000001</v>
      </c>
      <c r="G1263" s="103">
        <v>42.999852400000002</v>
      </c>
      <c r="H1263" s="102">
        <v>270</v>
      </c>
      <c r="I1263" s="102">
        <v>1620</v>
      </c>
      <c r="J1263" s="103"/>
      <c r="K1263" s="103"/>
      <c r="L1263" s="103"/>
      <c r="M1263" s="103">
        <v>270</v>
      </c>
      <c r="N1263" s="103"/>
      <c r="O1263" s="103"/>
      <c r="P1263" s="103"/>
      <c r="Q1263" s="103"/>
      <c r="R1263" s="103"/>
      <c r="S1263" s="103"/>
      <c r="T1263" s="103"/>
      <c r="U1263" s="103"/>
      <c r="V1263" s="103"/>
      <c r="W1263" s="103"/>
      <c r="X1263" s="103"/>
      <c r="Y1263" s="103"/>
      <c r="Z1263" s="103"/>
      <c r="AA1263" s="103"/>
      <c r="AB1263" s="103"/>
      <c r="AC1263" s="103"/>
      <c r="AD1263" s="103"/>
      <c r="AE1263" s="103"/>
      <c r="AF1263" s="103"/>
      <c r="AG1263" s="103">
        <v>270</v>
      </c>
      <c r="AH1263" s="103"/>
      <c r="AI1263" s="103"/>
      <c r="AJ1263" s="103"/>
      <c r="AK1263" s="103"/>
      <c r="AL1263" s="103"/>
      <c r="AM1263" s="103"/>
      <c r="AN1263" s="103"/>
      <c r="AO1263" s="103"/>
      <c r="AP1263" s="103"/>
      <c r="AQ1263" s="103"/>
      <c r="AR1263" s="103"/>
      <c r="AS1263" s="103">
        <v>270</v>
      </c>
      <c r="AT1263" s="103"/>
      <c r="AU1263" s="103"/>
      <c r="AV1263" s="103"/>
      <c r="AW1263" s="104" t="str">
        <f>HYPERLINK("http://www.openstreetmap.org/?mlat=36.1397&amp;mlon=42.9999&amp;zoom=12#map=12/36.1397/42.9999","Maplink1")</f>
        <v>Maplink1</v>
      </c>
      <c r="AX1263" s="104" t="str">
        <f>HYPERLINK("https://www.google.iq/maps/search/+36.1397,42.9999/@36.1397,42.9999,14z?hl=en","Maplink2")</f>
        <v>Maplink2</v>
      </c>
      <c r="AY1263" s="104" t="str">
        <f>HYPERLINK("http://www.bing.com/maps/?lvl=14&amp;sty=h&amp;cp=36.1397~42.9999&amp;sp=point.36.1397_42.9999","Maplink3")</f>
        <v>Maplink3</v>
      </c>
    </row>
    <row r="1264" spans="1:51" x14ac:dyDescent="0.2">
      <c r="A1264" s="102">
        <v>17874</v>
      </c>
      <c r="B1264" s="103" t="s">
        <v>35</v>
      </c>
      <c r="C1264" s="103" t="s">
        <v>102</v>
      </c>
      <c r="D1264" s="103" t="s">
        <v>2353</v>
      </c>
      <c r="E1264" s="103" t="s">
        <v>2354</v>
      </c>
      <c r="F1264" s="103">
        <v>36.196089999999998</v>
      </c>
      <c r="G1264" s="103">
        <v>42.712872062300001</v>
      </c>
      <c r="H1264" s="102">
        <v>317</v>
      </c>
      <c r="I1264" s="102">
        <v>1902</v>
      </c>
      <c r="J1264" s="103"/>
      <c r="K1264" s="103"/>
      <c r="L1264" s="103"/>
      <c r="M1264" s="103">
        <v>290</v>
      </c>
      <c r="N1264" s="103">
        <v>27</v>
      </c>
      <c r="O1264" s="103"/>
      <c r="P1264" s="103"/>
      <c r="Q1264" s="103"/>
      <c r="R1264" s="103"/>
      <c r="S1264" s="103"/>
      <c r="T1264" s="103"/>
      <c r="U1264" s="103"/>
      <c r="V1264" s="103"/>
      <c r="W1264" s="103"/>
      <c r="X1264" s="103"/>
      <c r="Y1264" s="103"/>
      <c r="Z1264" s="103"/>
      <c r="AA1264" s="103"/>
      <c r="AB1264" s="103"/>
      <c r="AC1264" s="103"/>
      <c r="AD1264" s="103"/>
      <c r="AE1264" s="103"/>
      <c r="AF1264" s="103"/>
      <c r="AG1264" s="103">
        <v>317</v>
      </c>
      <c r="AH1264" s="103"/>
      <c r="AI1264" s="103"/>
      <c r="AJ1264" s="103"/>
      <c r="AK1264" s="103"/>
      <c r="AL1264" s="103"/>
      <c r="AM1264" s="103"/>
      <c r="AN1264" s="103"/>
      <c r="AO1264" s="103"/>
      <c r="AP1264" s="103"/>
      <c r="AQ1264" s="103"/>
      <c r="AR1264" s="103"/>
      <c r="AS1264" s="103">
        <v>317</v>
      </c>
      <c r="AT1264" s="103"/>
      <c r="AU1264" s="103"/>
      <c r="AV1264" s="103"/>
      <c r="AW1264" s="104" t="str">
        <f>HYPERLINK("http://www.openstreetmap.org/?mlat=36.1961&amp;mlon=42.7129&amp;zoom=12#map=12/36.1961/42.7129","Maplink1")</f>
        <v>Maplink1</v>
      </c>
      <c r="AX1264" s="104" t="str">
        <f>HYPERLINK("https://www.google.iq/maps/search/+36.1961,42.7129/@36.1961,42.7129,14z?hl=en","Maplink2")</f>
        <v>Maplink2</v>
      </c>
      <c r="AY1264" s="104" t="str">
        <f>HYPERLINK("http://www.bing.com/maps/?lvl=14&amp;sty=h&amp;cp=36.1961~42.7129&amp;sp=point.36.1961_42.7129","Maplink3")</f>
        <v>Maplink3</v>
      </c>
    </row>
    <row r="1265" spans="1:51" x14ac:dyDescent="0.2">
      <c r="A1265" s="102">
        <v>17472</v>
      </c>
      <c r="B1265" s="103" t="s">
        <v>35</v>
      </c>
      <c r="C1265" s="103" t="s">
        <v>102</v>
      </c>
      <c r="D1265" s="103" t="s">
        <v>2355</v>
      </c>
      <c r="E1265" s="103" t="s">
        <v>2356</v>
      </c>
      <c r="F1265" s="103">
        <v>36.189076</v>
      </c>
      <c r="G1265" s="103">
        <v>42.802922354800003</v>
      </c>
      <c r="H1265" s="102">
        <v>22</v>
      </c>
      <c r="I1265" s="102">
        <v>132</v>
      </c>
      <c r="J1265" s="103"/>
      <c r="K1265" s="103"/>
      <c r="L1265" s="103"/>
      <c r="M1265" s="103">
        <v>15</v>
      </c>
      <c r="N1265" s="103">
        <v>7</v>
      </c>
      <c r="O1265" s="103"/>
      <c r="P1265" s="103"/>
      <c r="Q1265" s="103"/>
      <c r="R1265" s="103"/>
      <c r="S1265" s="103"/>
      <c r="T1265" s="103"/>
      <c r="U1265" s="103"/>
      <c r="V1265" s="103"/>
      <c r="W1265" s="103"/>
      <c r="X1265" s="103"/>
      <c r="Y1265" s="103"/>
      <c r="Z1265" s="103"/>
      <c r="AA1265" s="103"/>
      <c r="AB1265" s="103"/>
      <c r="AC1265" s="103"/>
      <c r="AD1265" s="103"/>
      <c r="AE1265" s="103"/>
      <c r="AF1265" s="103"/>
      <c r="AG1265" s="103">
        <v>22</v>
      </c>
      <c r="AH1265" s="103"/>
      <c r="AI1265" s="103"/>
      <c r="AJ1265" s="103"/>
      <c r="AK1265" s="103"/>
      <c r="AL1265" s="103"/>
      <c r="AM1265" s="103"/>
      <c r="AN1265" s="103"/>
      <c r="AO1265" s="103"/>
      <c r="AP1265" s="103"/>
      <c r="AQ1265" s="103"/>
      <c r="AR1265" s="103"/>
      <c r="AS1265" s="103">
        <v>22</v>
      </c>
      <c r="AT1265" s="103"/>
      <c r="AU1265" s="103"/>
      <c r="AV1265" s="103"/>
      <c r="AW1265" s="104" t="str">
        <f>HYPERLINK("http://www.openstreetmap.org/?mlat=36.1891&amp;mlon=42.8029&amp;zoom=12#map=12/36.1891/42.8029","Maplink1")</f>
        <v>Maplink1</v>
      </c>
      <c r="AX1265" s="104" t="str">
        <f>HYPERLINK("https://www.google.iq/maps/search/+36.1891,42.8029/@36.1891,42.8029,14z?hl=en","Maplink2")</f>
        <v>Maplink2</v>
      </c>
      <c r="AY1265" s="104" t="str">
        <f>HYPERLINK("http://www.bing.com/maps/?lvl=14&amp;sty=h&amp;cp=36.1891~42.8029&amp;sp=point.36.1891_42.8029","Maplink3")</f>
        <v>Maplink3</v>
      </c>
    </row>
    <row r="1266" spans="1:51" x14ac:dyDescent="0.2">
      <c r="A1266" s="102">
        <v>33788</v>
      </c>
      <c r="B1266" s="103" t="s">
        <v>35</v>
      </c>
      <c r="C1266" s="103" t="s">
        <v>102</v>
      </c>
      <c r="D1266" s="103" t="s">
        <v>2357</v>
      </c>
      <c r="E1266" s="103" t="s">
        <v>2358</v>
      </c>
      <c r="F1266" s="103">
        <v>35.914658000000003</v>
      </c>
      <c r="G1266" s="103">
        <v>43.362572</v>
      </c>
      <c r="H1266" s="102">
        <v>430</v>
      </c>
      <c r="I1266" s="102">
        <v>2580</v>
      </c>
      <c r="J1266" s="103"/>
      <c r="K1266" s="103"/>
      <c r="L1266" s="103"/>
      <c r="M1266" s="103">
        <v>430</v>
      </c>
      <c r="N1266" s="103"/>
      <c r="O1266" s="103"/>
      <c r="P1266" s="103"/>
      <c r="Q1266" s="103"/>
      <c r="R1266" s="103"/>
      <c r="S1266" s="103"/>
      <c r="T1266" s="103"/>
      <c r="U1266" s="103"/>
      <c r="V1266" s="103"/>
      <c r="W1266" s="103"/>
      <c r="X1266" s="103"/>
      <c r="Y1266" s="103"/>
      <c r="Z1266" s="103"/>
      <c r="AA1266" s="103">
        <v>326</v>
      </c>
      <c r="AB1266" s="103"/>
      <c r="AC1266" s="103"/>
      <c r="AD1266" s="103"/>
      <c r="AE1266" s="103"/>
      <c r="AF1266" s="103"/>
      <c r="AG1266" s="103">
        <v>104</v>
      </c>
      <c r="AH1266" s="103"/>
      <c r="AI1266" s="103"/>
      <c r="AJ1266" s="103"/>
      <c r="AK1266" s="103"/>
      <c r="AL1266" s="103"/>
      <c r="AM1266" s="103"/>
      <c r="AN1266" s="103"/>
      <c r="AO1266" s="103"/>
      <c r="AP1266" s="103">
        <v>430</v>
      </c>
      <c r="AQ1266" s="103"/>
      <c r="AR1266" s="103"/>
      <c r="AS1266" s="103"/>
      <c r="AT1266" s="103"/>
      <c r="AU1266" s="103"/>
      <c r="AV1266" s="103"/>
      <c r="AW1266" s="104" t="str">
        <f>HYPERLINK("http://www.openstreetmap.org/?mlat=35.9147&amp;mlon=43.3626&amp;zoom=12#map=12/35.9147/43.3626","Maplink1")</f>
        <v>Maplink1</v>
      </c>
      <c r="AX1266" s="104" t="str">
        <f>HYPERLINK("https://www.google.iq/maps/search/+35.9147,43.3626/@35.9147,43.3626,14z?hl=en","Maplink2")</f>
        <v>Maplink2</v>
      </c>
      <c r="AY1266" s="104" t="str">
        <f>HYPERLINK("http://www.bing.com/maps/?lvl=14&amp;sty=h&amp;cp=35.9147~43.3626&amp;sp=point.35.9147_43.3626","Maplink3")</f>
        <v>Maplink3</v>
      </c>
    </row>
    <row r="1267" spans="1:51" x14ac:dyDescent="0.2">
      <c r="A1267" s="102">
        <v>33750</v>
      </c>
      <c r="B1267" s="103" t="s">
        <v>35</v>
      </c>
      <c r="C1267" s="103" t="s">
        <v>102</v>
      </c>
      <c r="D1267" s="103" t="s">
        <v>2359</v>
      </c>
      <c r="E1267" s="103" t="s">
        <v>2360</v>
      </c>
      <c r="F1267" s="103">
        <v>35.96866</v>
      </c>
      <c r="G1267" s="103">
        <v>43.174686000000001</v>
      </c>
      <c r="H1267" s="102">
        <v>8</v>
      </c>
      <c r="I1267" s="102">
        <v>48</v>
      </c>
      <c r="J1267" s="103"/>
      <c r="K1267" s="103"/>
      <c r="L1267" s="103"/>
      <c r="M1267" s="103">
        <v>6</v>
      </c>
      <c r="N1267" s="103">
        <v>2</v>
      </c>
      <c r="O1267" s="103"/>
      <c r="P1267" s="103"/>
      <c r="Q1267" s="103"/>
      <c r="R1267" s="103"/>
      <c r="S1267" s="103"/>
      <c r="T1267" s="103"/>
      <c r="U1267" s="103"/>
      <c r="V1267" s="103"/>
      <c r="W1267" s="103"/>
      <c r="X1267" s="103"/>
      <c r="Y1267" s="103"/>
      <c r="Z1267" s="103"/>
      <c r="AA1267" s="103"/>
      <c r="AB1267" s="103"/>
      <c r="AC1267" s="103"/>
      <c r="AD1267" s="103"/>
      <c r="AE1267" s="103"/>
      <c r="AF1267" s="103"/>
      <c r="AG1267" s="103">
        <v>8</v>
      </c>
      <c r="AH1267" s="103"/>
      <c r="AI1267" s="103"/>
      <c r="AJ1267" s="103"/>
      <c r="AK1267" s="103"/>
      <c r="AL1267" s="103"/>
      <c r="AM1267" s="103"/>
      <c r="AN1267" s="103"/>
      <c r="AO1267" s="103"/>
      <c r="AP1267" s="103"/>
      <c r="AQ1267" s="103"/>
      <c r="AR1267" s="103"/>
      <c r="AS1267" s="103">
        <v>8</v>
      </c>
      <c r="AT1267" s="103"/>
      <c r="AU1267" s="103"/>
      <c r="AV1267" s="103"/>
      <c r="AW1267" s="104" t="str">
        <f>HYPERLINK("http://www.openstreetmap.org/?mlat=35.9687&amp;mlon=43.1747&amp;zoom=12#map=12/35.9687/43.1747","Maplink1")</f>
        <v>Maplink1</v>
      </c>
      <c r="AX1267" s="104" t="str">
        <f>HYPERLINK("https://www.google.iq/maps/search/+35.9687,43.1747/@35.9687,43.1747,14z?hl=en","Maplink2")</f>
        <v>Maplink2</v>
      </c>
      <c r="AY1267" s="104" t="str">
        <f>HYPERLINK("http://www.bing.com/maps/?lvl=14&amp;sty=h&amp;cp=35.9687~43.1747&amp;sp=point.35.9687_43.1747","Maplink3")</f>
        <v>Maplink3</v>
      </c>
    </row>
    <row r="1268" spans="1:51" x14ac:dyDescent="0.2">
      <c r="A1268" s="102">
        <v>33254</v>
      </c>
      <c r="B1268" s="103" t="s">
        <v>35</v>
      </c>
      <c r="C1268" s="103" t="s">
        <v>102</v>
      </c>
      <c r="D1268" s="103" t="s">
        <v>2646</v>
      </c>
      <c r="E1268" s="103" t="s">
        <v>2647</v>
      </c>
      <c r="F1268" s="103">
        <v>36.378503539</v>
      </c>
      <c r="G1268" s="103">
        <v>43.077615410500002</v>
      </c>
      <c r="H1268" s="102">
        <v>915</v>
      </c>
      <c r="I1268" s="102">
        <v>5490</v>
      </c>
      <c r="J1268" s="103"/>
      <c r="K1268" s="103"/>
      <c r="L1268" s="103"/>
      <c r="M1268" s="103">
        <v>915</v>
      </c>
      <c r="N1268" s="103"/>
      <c r="O1268" s="103"/>
      <c r="P1268" s="103"/>
      <c r="Q1268" s="103"/>
      <c r="R1268" s="103"/>
      <c r="S1268" s="103"/>
      <c r="T1268" s="103"/>
      <c r="U1268" s="103"/>
      <c r="V1268" s="103"/>
      <c r="W1268" s="103"/>
      <c r="X1268" s="103"/>
      <c r="Y1268" s="103">
        <v>2</v>
      </c>
      <c r="Z1268" s="103"/>
      <c r="AA1268" s="103"/>
      <c r="AB1268" s="103"/>
      <c r="AC1268" s="103"/>
      <c r="AD1268" s="103"/>
      <c r="AE1268" s="103"/>
      <c r="AF1268" s="103"/>
      <c r="AG1268" s="103">
        <v>913</v>
      </c>
      <c r="AH1268" s="103"/>
      <c r="AI1268" s="103"/>
      <c r="AJ1268" s="103"/>
      <c r="AK1268" s="103"/>
      <c r="AL1268" s="103"/>
      <c r="AM1268" s="103"/>
      <c r="AN1268" s="103"/>
      <c r="AO1268" s="103"/>
      <c r="AP1268" s="103"/>
      <c r="AQ1268" s="103"/>
      <c r="AR1268" s="103"/>
      <c r="AS1268" s="103">
        <v>915</v>
      </c>
      <c r="AT1268" s="103"/>
      <c r="AU1268" s="103"/>
      <c r="AV1268" s="103"/>
      <c r="AW1268" s="104" t="str">
        <f>HYPERLINK("http://www.openstreetmap.org/?mlat=36.3785&amp;mlon=43.0776&amp;zoom=12#map=12/36.3785/43.0776","Maplink1")</f>
        <v>Maplink1</v>
      </c>
      <c r="AX1268" s="104" t="str">
        <f>HYPERLINK("https://www.google.iq/maps/search/+36.3785,43.0776/@36.3785,43.0776,14z?hl=en","Maplink2")</f>
        <v>Maplink2</v>
      </c>
      <c r="AY1268" s="104" t="str">
        <f>HYPERLINK("http://www.bing.com/maps/?lvl=14&amp;sty=h&amp;cp=36.3785~43.0776&amp;sp=point.36.3785_43.0776","Maplink3")</f>
        <v>Maplink3</v>
      </c>
    </row>
    <row r="1269" spans="1:51" x14ac:dyDescent="0.2">
      <c r="A1269" s="102">
        <v>33270</v>
      </c>
      <c r="B1269" s="103" t="s">
        <v>35</v>
      </c>
      <c r="C1269" s="103" t="s">
        <v>102</v>
      </c>
      <c r="D1269" s="103" t="s">
        <v>2648</v>
      </c>
      <c r="E1269" s="103" t="s">
        <v>2649</v>
      </c>
      <c r="F1269" s="103">
        <v>36.439619999999998</v>
      </c>
      <c r="G1269" s="103">
        <v>42.939553277400002</v>
      </c>
      <c r="H1269" s="102">
        <v>224</v>
      </c>
      <c r="I1269" s="102">
        <v>1344</v>
      </c>
      <c r="J1269" s="103"/>
      <c r="K1269" s="103"/>
      <c r="L1269" s="103"/>
      <c r="M1269" s="103">
        <v>214</v>
      </c>
      <c r="N1269" s="103">
        <v>10</v>
      </c>
      <c r="O1269" s="103"/>
      <c r="P1269" s="103"/>
      <c r="Q1269" s="103"/>
      <c r="R1269" s="103"/>
      <c r="S1269" s="103"/>
      <c r="T1269" s="103"/>
      <c r="U1269" s="103"/>
      <c r="V1269" s="103"/>
      <c r="W1269" s="103"/>
      <c r="X1269" s="103"/>
      <c r="Y1269" s="103"/>
      <c r="Z1269" s="103"/>
      <c r="AA1269" s="103"/>
      <c r="AB1269" s="103"/>
      <c r="AC1269" s="103"/>
      <c r="AD1269" s="103"/>
      <c r="AE1269" s="103"/>
      <c r="AF1269" s="103"/>
      <c r="AG1269" s="103">
        <v>224</v>
      </c>
      <c r="AH1269" s="103"/>
      <c r="AI1269" s="103"/>
      <c r="AJ1269" s="103"/>
      <c r="AK1269" s="103"/>
      <c r="AL1269" s="103"/>
      <c r="AM1269" s="103"/>
      <c r="AN1269" s="103"/>
      <c r="AO1269" s="103"/>
      <c r="AP1269" s="103"/>
      <c r="AQ1269" s="103"/>
      <c r="AR1269" s="103"/>
      <c r="AS1269" s="103"/>
      <c r="AT1269" s="103">
        <v>224</v>
      </c>
      <c r="AU1269" s="103"/>
      <c r="AV1269" s="103"/>
      <c r="AW1269" s="104" t="str">
        <f>HYPERLINK("http://www.openstreetmap.org/?mlat=36.4396&amp;mlon=42.9396&amp;zoom=12#map=12/36.4396/42.9396","Maplink1")</f>
        <v>Maplink1</v>
      </c>
      <c r="AX1269" s="104" t="str">
        <f>HYPERLINK("https://www.google.iq/maps/search/+36.4396,42.9396/@36.4396,42.9396,14z?hl=en","Maplink2")</f>
        <v>Maplink2</v>
      </c>
      <c r="AY1269" s="104" t="str">
        <f>HYPERLINK("http://www.bing.com/maps/?lvl=14&amp;sty=h&amp;cp=36.4396~42.9396&amp;sp=point.36.4396_42.9396","Maplink3")</f>
        <v>Maplink3</v>
      </c>
    </row>
    <row r="1270" spans="1:51" x14ac:dyDescent="0.2">
      <c r="A1270" s="102">
        <v>22441</v>
      </c>
      <c r="B1270" s="103" t="s">
        <v>35</v>
      </c>
      <c r="C1270" s="103" t="s">
        <v>102</v>
      </c>
      <c r="D1270" s="103" t="s">
        <v>2650</v>
      </c>
      <c r="E1270" s="103" t="s">
        <v>2651</v>
      </c>
      <c r="F1270" s="103">
        <v>36.418725999999999</v>
      </c>
      <c r="G1270" s="103">
        <v>43.418019000000001</v>
      </c>
      <c r="H1270" s="102">
        <v>27</v>
      </c>
      <c r="I1270" s="102">
        <v>162</v>
      </c>
      <c r="J1270" s="103"/>
      <c r="K1270" s="103"/>
      <c r="L1270" s="103"/>
      <c r="M1270" s="103">
        <v>27</v>
      </c>
      <c r="N1270" s="103"/>
      <c r="O1270" s="103"/>
      <c r="P1270" s="103"/>
      <c r="Q1270" s="103"/>
      <c r="R1270" s="103"/>
      <c r="S1270" s="103"/>
      <c r="T1270" s="103"/>
      <c r="U1270" s="103"/>
      <c r="V1270" s="103"/>
      <c r="W1270" s="103"/>
      <c r="X1270" s="103"/>
      <c r="Y1270" s="103"/>
      <c r="Z1270" s="103"/>
      <c r="AA1270" s="103">
        <v>14</v>
      </c>
      <c r="AB1270" s="103"/>
      <c r="AC1270" s="103"/>
      <c r="AD1270" s="103"/>
      <c r="AE1270" s="103"/>
      <c r="AF1270" s="103"/>
      <c r="AG1270" s="103">
        <v>13</v>
      </c>
      <c r="AH1270" s="103"/>
      <c r="AI1270" s="103"/>
      <c r="AJ1270" s="103"/>
      <c r="AK1270" s="103"/>
      <c r="AL1270" s="103"/>
      <c r="AM1270" s="103"/>
      <c r="AN1270" s="103"/>
      <c r="AO1270" s="103">
        <v>27</v>
      </c>
      <c r="AP1270" s="103"/>
      <c r="AQ1270" s="103"/>
      <c r="AR1270" s="103"/>
      <c r="AS1270" s="103"/>
      <c r="AT1270" s="103"/>
      <c r="AU1270" s="103"/>
      <c r="AV1270" s="103"/>
      <c r="AW1270" s="104" t="str">
        <f>HYPERLINK("http://www.openstreetmap.org/?mlat=36.4187&amp;mlon=43.418&amp;zoom=12#map=12/36.4187/43.418","Maplink1")</f>
        <v>Maplink1</v>
      </c>
      <c r="AX1270" s="104" t="str">
        <f>HYPERLINK("https://www.google.iq/maps/search/+36.4187,43.418/@36.4187,43.418,14z?hl=en","Maplink2")</f>
        <v>Maplink2</v>
      </c>
      <c r="AY1270" s="104" t="str">
        <f>HYPERLINK("http://www.bing.com/maps/?lvl=14&amp;sty=h&amp;cp=36.4187~43.418&amp;sp=point.36.4187_43.418","Maplink3")</f>
        <v>Maplink3</v>
      </c>
    </row>
    <row r="1271" spans="1:51" x14ac:dyDescent="0.2">
      <c r="A1271" s="102">
        <v>33514</v>
      </c>
      <c r="B1271" s="103" t="s">
        <v>35</v>
      </c>
      <c r="C1271" s="103" t="s">
        <v>102</v>
      </c>
      <c r="D1271" s="103" t="s">
        <v>2652</v>
      </c>
      <c r="E1271" s="103" t="s">
        <v>2653</v>
      </c>
      <c r="F1271" s="103">
        <v>36.161782000000002</v>
      </c>
      <c r="G1271" s="103">
        <v>42.898593645699997</v>
      </c>
      <c r="H1271" s="102">
        <v>37</v>
      </c>
      <c r="I1271" s="102">
        <v>222</v>
      </c>
      <c r="J1271" s="103"/>
      <c r="K1271" s="103"/>
      <c r="L1271" s="103"/>
      <c r="M1271" s="103">
        <v>30</v>
      </c>
      <c r="N1271" s="103">
        <v>7</v>
      </c>
      <c r="O1271" s="103"/>
      <c r="P1271" s="103"/>
      <c r="Q1271" s="103"/>
      <c r="R1271" s="103"/>
      <c r="S1271" s="103"/>
      <c r="T1271" s="103"/>
      <c r="U1271" s="103"/>
      <c r="V1271" s="103"/>
      <c r="W1271" s="103"/>
      <c r="X1271" s="103"/>
      <c r="Y1271" s="103"/>
      <c r="Z1271" s="103"/>
      <c r="AA1271" s="103"/>
      <c r="AB1271" s="103"/>
      <c r="AC1271" s="103"/>
      <c r="AD1271" s="103"/>
      <c r="AE1271" s="103"/>
      <c r="AF1271" s="103"/>
      <c r="AG1271" s="103">
        <v>37</v>
      </c>
      <c r="AH1271" s="103"/>
      <c r="AI1271" s="103"/>
      <c r="AJ1271" s="103"/>
      <c r="AK1271" s="103"/>
      <c r="AL1271" s="103"/>
      <c r="AM1271" s="103"/>
      <c r="AN1271" s="103"/>
      <c r="AO1271" s="103"/>
      <c r="AP1271" s="103"/>
      <c r="AQ1271" s="103"/>
      <c r="AR1271" s="103"/>
      <c r="AS1271" s="103">
        <v>37</v>
      </c>
      <c r="AT1271" s="103"/>
      <c r="AU1271" s="103"/>
      <c r="AV1271" s="103"/>
      <c r="AW1271" s="104" t="str">
        <f>HYPERLINK("http://www.openstreetmap.org/?mlat=36.1618&amp;mlon=42.8986&amp;zoom=12#map=12/36.1618/42.8986","Maplink1")</f>
        <v>Maplink1</v>
      </c>
      <c r="AX1271" s="104" t="str">
        <f>HYPERLINK("https://www.google.iq/maps/search/+36.1618,42.8986/@36.1618,42.8986,14z?hl=en","Maplink2")</f>
        <v>Maplink2</v>
      </c>
      <c r="AY1271" s="104" t="str">
        <f>HYPERLINK("http://www.bing.com/maps/?lvl=14&amp;sty=h&amp;cp=36.1618~42.8986&amp;sp=point.36.1618_42.8986","Maplink3")</f>
        <v>Maplink3</v>
      </c>
    </row>
    <row r="1272" spans="1:51" x14ac:dyDescent="0.2">
      <c r="A1272" s="102">
        <v>17507</v>
      </c>
      <c r="B1272" s="103" t="s">
        <v>35</v>
      </c>
      <c r="C1272" s="103" t="s">
        <v>102</v>
      </c>
      <c r="D1272" s="103" t="s">
        <v>2666</v>
      </c>
      <c r="E1272" s="103" t="s">
        <v>2667</v>
      </c>
      <c r="F1272" s="103">
        <v>35.911451999999997</v>
      </c>
      <c r="G1272" s="103">
        <v>43.3099815681</v>
      </c>
      <c r="H1272" s="102">
        <v>50</v>
      </c>
      <c r="I1272" s="102">
        <v>300</v>
      </c>
      <c r="J1272" s="103"/>
      <c r="K1272" s="103"/>
      <c r="L1272" s="103"/>
      <c r="M1272" s="103">
        <v>50</v>
      </c>
      <c r="N1272" s="103"/>
      <c r="O1272" s="103"/>
      <c r="P1272" s="103"/>
      <c r="Q1272" s="103"/>
      <c r="R1272" s="103"/>
      <c r="S1272" s="103"/>
      <c r="T1272" s="103"/>
      <c r="U1272" s="103"/>
      <c r="V1272" s="103"/>
      <c r="W1272" s="103"/>
      <c r="X1272" s="103"/>
      <c r="Y1272" s="103"/>
      <c r="Z1272" s="103"/>
      <c r="AA1272" s="103"/>
      <c r="AB1272" s="103"/>
      <c r="AC1272" s="103"/>
      <c r="AD1272" s="103"/>
      <c r="AE1272" s="103"/>
      <c r="AF1272" s="103"/>
      <c r="AG1272" s="103">
        <v>50</v>
      </c>
      <c r="AH1272" s="103"/>
      <c r="AI1272" s="103"/>
      <c r="AJ1272" s="103"/>
      <c r="AK1272" s="103"/>
      <c r="AL1272" s="103"/>
      <c r="AM1272" s="103"/>
      <c r="AN1272" s="103"/>
      <c r="AO1272" s="103"/>
      <c r="AP1272" s="103"/>
      <c r="AQ1272" s="103"/>
      <c r="AR1272" s="103"/>
      <c r="AS1272" s="103">
        <v>50</v>
      </c>
      <c r="AT1272" s="103"/>
      <c r="AU1272" s="103"/>
      <c r="AV1272" s="103"/>
      <c r="AW1272" s="104" t="str">
        <f>HYPERLINK("http://www.openstreetmap.org/?mlat=35.9115&amp;mlon=43.31&amp;zoom=12#map=12/35.9115/43.31","Maplink1")</f>
        <v>Maplink1</v>
      </c>
      <c r="AX1272" s="104" t="str">
        <f>HYPERLINK("https://www.google.iq/maps/search/+35.9115,43.31/@35.9115,43.31,14z?hl=en","Maplink2")</f>
        <v>Maplink2</v>
      </c>
      <c r="AY1272" s="104" t="str">
        <f>HYPERLINK("http://www.bing.com/maps/?lvl=14&amp;sty=h&amp;cp=35.9115~43.31&amp;sp=point.35.9115_43.31","Maplink3")</f>
        <v>Maplink3</v>
      </c>
    </row>
    <row r="1273" spans="1:51" x14ac:dyDescent="0.2">
      <c r="A1273" s="102">
        <v>33492</v>
      </c>
      <c r="B1273" s="103" t="s">
        <v>35</v>
      </c>
      <c r="C1273" s="103" t="s">
        <v>102</v>
      </c>
      <c r="D1273" s="103" t="s">
        <v>2668</v>
      </c>
      <c r="E1273" s="103" t="s">
        <v>2669</v>
      </c>
      <c r="F1273" s="103">
        <v>35.689546</v>
      </c>
      <c r="G1273" s="103">
        <v>43.268509000000002</v>
      </c>
      <c r="H1273" s="102">
        <v>225</v>
      </c>
      <c r="I1273" s="102">
        <v>1350</v>
      </c>
      <c r="J1273" s="103"/>
      <c r="K1273" s="103"/>
      <c r="L1273" s="103"/>
      <c r="M1273" s="103">
        <v>220</v>
      </c>
      <c r="N1273" s="103">
        <v>5</v>
      </c>
      <c r="O1273" s="103"/>
      <c r="P1273" s="103"/>
      <c r="Q1273" s="103"/>
      <c r="R1273" s="103"/>
      <c r="S1273" s="103"/>
      <c r="T1273" s="103"/>
      <c r="U1273" s="103"/>
      <c r="V1273" s="103"/>
      <c r="W1273" s="103"/>
      <c r="X1273" s="103"/>
      <c r="Y1273" s="103"/>
      <c r="Z1273" s="103"/>
      <c r="AA1273" s="103">
        <v>125</v>
      </c>
      <c r="AB1273" s="103"/>
      <c r="AC1273" s="103"/>
      <c r="AD1273" s="103"/>
      <c r="AE1273" s="103"/>
      <c r="AF1273" s="103"/>
      <c r="AG1273" s="103"/>
      <c r="AH1273" s="103"/>
      <c r="AI1273" s="103">
        <v>100</v>
      </c>
      <c r="AJ1273" s="103"/>
      <c r="AK1273" s="103"/>
      <c r="AL1273" s="103"/>
      <c r="AM1273" s="103"/>
      <c r="AN1273" s="103"/>
      <c r="AO1273" s="103"/>
      <c r="AP1273" s="103"/>
      <c r="AQ1273" s="103"/>
      <c r="AR1273" s="103">
        <v>225</v>
      </c>
      <c r="AS1273" s="103"/>
      <c r="AT1273" s="103"/>
      <c r="AU1273" s="103"/>
      <c r="AV1273" s="103"/>
      <c r="AW1273" s="104" t="str">
        <f>HYPERLINK("http://www.openstreetmap.org/?mlat=35.6895&amp;mlon=43.2685&amp;zoom=12#map=12/35.6895/43.2685","Maplink1")</f>
        <v>Maplink1</v>
      </c>
      <c r="AX1273" s="104" t="str">
        <f>HYPERLINK("https://www.google.iq/maps/search/+35.6895,43.2685/@35.6895,43.2685,14z?hl=en","Maplink2")</f>
        <v>Maplink2</v>
      </c>
      <c r="AY1273" s="104" t="str">
        <f>HYPERLINK("http://www.bing.com/maps/?lvl=14&amp;sty=h&amp;cp=35.6895~43.2685&amp;sp=point.35.6895_43.2685","Maplink3")</f>
        <v>Maplink3</v>
      </c>
    </row>
    <row r="1274" spans="1:51" x14ac:dyDescent="0.2">
      <c r="A1274" s="102">
        <v>18050</v>
      </c>
      <c r="B1274" s="103" t="s">
        <v>35</v>
      </c>
      <c r="C1274" s="103" t="s">
        <v>102</v>
      </c>
      <c r="D1274" s="103" t="s">
        <v>2670</v>
      </c>
      <c r="E1274" s="103" t="s">
        <v>2671</v>
      </c>
      <c r="F1274" s="103">
        <v>36.1706</v>
      </c>
      <c r="G1274" s="103">
        <v>42.934959999999997</v>
      </c>
      <c r="H1274" s="102">
        <v>48</v>
      </c>
      <c r="I1274" s="102">
        <v>288</v>
      </c>
      <c r="J1274" s="103"/>
      <c r="K1274" s="103"/>
      <c r="L1274" s="103"/>
      <c r="M1274" s="103">
        <v>41</v>
      </c>
      <c r="N1274" s="103">
        <v>7</v>
      </c>
      <c r="O1274" s="103"/>
      <c r="P1274" s="103"/>
      <c r="Q1274" s="103"/>
      <c r="R1274" s="103"/>
      <c r="S1274" s="103"/>
      <c r="T1274" s="103"/>
      <c r="U1274" s="103"/>
      <c r="V1274" s="103"/>
      <c r="W1274" s="103"/>
      <c r="X1274" s="103"/>
      <c r="Y1274" s="103"/>
      <c r="Z1274" s="103"/>
      <c r="AA1274" s="103"/>
      <c r="AB1274" s="103"/>
      <c r="AC1274" s="103"/>
      <c r="AD1274" s="103"/>
      <c r="AE1274" s="103"/>
      <c r="AF1274" s="103"/>
      <c r="AG1274" s="103">
        <v>48</v>
      </c>
      <c r="AH1274" s="103"/>
      <c r="AI1274" s="103"/>
      <c r="AJ1274" s="103"/>
      <c r="AK1274" s="103"/>
      <c r="AL1274" s="103"/>
      <c r="AM1274" s="103"/>
      <c r="AN1274" s="103"/>
      <c r="AO1274" s="103"/>
      <c r="AP1274" s="103"/>
      <c r="AQ1274" s="103"/>
      <c r="AR1274" s="103"/>
      <c r="AS1274" s="103">
        <v>48</v>
      </c>
      <c r="AT1274" s="103"/>
      <c r="AU1274" s="103"/>
      <c r="AV1274" s="103"/>
      <c r="AW1274" s="104" t="str">
        <f>HYPERLINK("http://www.openstreetmap.org/?mlat=36.1706&amp;mlon=42.935&amp;zoom=12#map=12/36.1706/42.935","Maplink1")</f>
        <v>Maplink1</v>
      </c>
      <c r="AX1274" s="104" t="str">
        <f>HYPERLINK("https://www.google.iq/maps/search/+36.1706,42.935/@36.1706,42.935,14z?hl=en","Maplink2")</f>
        <v>Maplink2</v>
      </c>
      <c r="AY1274" s="104" t="str">
        <f>HYPERLINK("http://www.bing.com/maps/?lvl=14&amp;sty=h&amp;cp=36.1706~42.935&amp;sp=point.36.1706_42.935","Maplink3")</f>
        <v>Maplink3</v>
      </c>
    </row>
    <row r="1275" spans="1:51" x14ac:dyDescent="0.2">
      <c r="A1275" s="102">
        <v>33702</v>
      </c>
      <c r="B1275" s="103" t="s">
        <v>35</v>
      </c>
      <c r="C1275" s="103" t="s">
        <v>102</v>
      </c>
      <c r="D1275" s="103" t="s">
        <v>2672</v>
      </c>
      <c r="E1275" s="103" t="s">
        <v>2673</v>
      </c>
      <c r="F1275" s="103">
        <v>36.075539999999997</v>
      </c>
      <c r="G1275" s="103">
        <v>43.284584222600003</v>
      </c>
      <c r="H1275" s="102">
        <v>75</v>
      </c>
      <c r="I1275" s="102">
        <v>450</v>
      </c>
      <c r="J1275" s="103"/>
      <c r="K1275" s="103"/>
      <c r="L1275" s="103"/>
      <c r="M1275" s="103">
        <v>64</v>
      </c>
      <c r="N1275" s="103">
        <v>11</v>
      </c>
      <c r="O1275" s="103"/>
      <c r="P1275" s="103"/>
      <c r="Q1275" s="103"/>
      <c r="R1275" s="103"/>
      <c r="S1275" s="103"/>
      <c r="T1275" s="103"/>
      <c r="U1275" s="103"/>
      <c r="V1275" s="103"/>
      <c r="W1275" s="103"/>
      <c r="X1275" s="103"/>
      <c r="Y1275" s="103"/>
      <c r="Z1275" s="103"/>
      <c r="AA1275" s="103"/>
      <c r="AB1275" s="103"/>
      <c r="AC1275" s="103"/>
      <c r="AD1275" s="103"/>
      <c r="AE1275" s="103"/>
      <c r="AF1275" s="103"/>
      <c r="AG1275" s="103">
        <v>75</v>
      </c>
      <c r="AH1275" s="103"/>
      <c r="AI1275" s="103"/>
      <c r="AJ1275" s="103"/>
      <c r="AK1275" s="103"/>
      <c r="AL1275" s="103"/>
      <c r="AM1275" s="103"/>
      <c r="AN1275" s="103"/>
      <c r="AO1275" s="103"/>
      <c r="AP1275" s="103"/>
      <c r="AQ1275" s="103"/>
      <c r="AR1275" s="103"/>
      <c r="AS1275" s="103">
        <v>75</v>
      </c>
      <c r="AT1275" s="103"/>
      <c r="AU1275" s="103"/>
      <c r="AV1275" s="103"/>
      <c r="AW1275" s="104" t="str">
        <f>HYPERLINK("http://www.openstreetmap.org/?mlat=36.0755&amp;mlon=43.2846&amp;zoom=12#map=12/36.0755/43.2846","Maplink1")</f>
        <v>Maplink1</v>
      </c>
      <c r="AX1275" s="104" t="str">
        <f>HYPERLINK("https://www.google.iq/maps/search/+36.0755,43.2846/@36.0755,43.2846,14z?hl=en","Maplink2")</f>
        <v>Maplink2</v>
      </c>
      <c r="AY1275" s="104" t="str">
        <f>HYPERLINK("http://www.bing.com/maps/?lvl=14&amp;sty=h&amp;cp=36.0755~43.2846&amp;sp=point.36.0755_43.2846","Maplink3")</f>
        <v>Maplink3</v>
      </c>
    </row>
    <row r="1276" spans="1:51" x14ac:dyDescent="0.2">
      <c r="A1276" s="102">
        <v>33705</v>
      </c>
      <c r="B1276" s="103" t="s">
        <v>35</v>
      </c>
      <c r="C1276" s="103" t="s">
        <v>102</v>
      </c>
      <c r="D1276" s="103" t="s">
        <v>2674</v>
      </c>
      <c r="E1276" s="103" t="s">
        <v>2675</v>
      </c>
      <c r="F1276" s="103">
        <v>36.103985999999999</v>
      </c>
      <c r="G1276" s="103">
        <v>42.968330999999999</v>
      </c>
      <c r="H1276" s="102">
        <v>60</v>
      </c>
      <c r="I1276" s="102">
        <v>360</v>
      </c>
      <c r="J1276" s="103"/>
      <c r="K1276" s="103"/>
      <c r="L1276" s="103"/>
      <c r="M1276" s="103">
        <v>60</v>
      </c>
      <c r="N1276" s="103"/>
      <c r="O1276" s="103"/>
      <c r="P1276" s="103"/>
      <c r="Q1276" s="103"/>
      <c r="R1276" s="103"/>
      <c r="S1276" s="103"/>
      <c r="T1276" s="103"/>
      <c r="U1276" s="103"/>
      <c r="V1276" s="103"/>
      <c r="W1276" s="103"/>
      <c r="X1276" s="103"/>
      <c r="Y1276" s="103"/>
      <c r="Z1276" s="103"/>
      <c r="AA1276" s="103"/>
      <c r="AB1276" s="103"/>
      <c r="AC1276" s="103"/>
      <c r="AD1276" s="103"/>
      <c r="AE1276" s="103"/>
      <c r="AF1276" s="103"/>
      <c r="AG1276" s="103">
        <v>60</v>
      </c>
      <c r="AH1276" s="103"/>
      <c r="AI1276" s="103"/>
      <c r="AJ1276" s="103"/>
      <c r="AK1276" s="103"/>
      <c r="AL1276" s="103"/>
      <c r="AM1276" s="103"/>
      <c r="AN1276" s="103"/>
      <c r="AO1276" s="103"/>
      <c r="AP1276" s="103"/>
      <c r="AQ1276" s="103"/>
      <c r="AR1276" s="103"/>
      <c r="AS1276" s="103">
        <v>60</v>
      </c>
      <c r="AT1276" s="103"/>
      <c r="AU1276" s="103"/>
      <c r="AV1276" s="103"/>
      <c r="AW1276" s="104" t="str">
        <f>HYPERLINK("http://www.openstreetmap.org/?mlat=36.104&amp;mlon=42.9683&amp;zoom=12#map=12/36.104/42.9683","Maplink1")</f>
        <v>Maplink1</v>
      </c>
      <c r="AX1276" s="104" t="str">
        <f>HYPERLINK("https://www.google.iq/maps/search/+36.104,42.9683/@36.104,42.9683,14z?hl=en","Maplink2")</f>
        <v>Maplink2</v>
      </c>
      <c r="AY1276" s="104" t="str">
        <f>HYPERLINK("http://www.bing.com/maps/?lvl=14&amp;sty=h&amp;cp=36.104~42.9683&amp;sp=point.36.104_42.9683","Maplink3")</f>
        <v>Maplink3</v>
      </c>
    </row>
    <row r="1277" spans="1:51" x14ac:dyDescent="0.2">
      <c r="A1277" s="102">
        <v>33870</v>
      </c>
      <c r="B1277" s="103" t="s">
        <v>35</v>
      </c>
      <c r="C1277" s="103" t="s">
        <v>102</v>
      </c>
      <c r="D1277" s="103" t="s">
        <v>2676</v>
      </c>
      <c r="E1277" s="103" t="s">
        <v>2677</v>
      </c>
      <c r="F1277" s="103">
        <v>36.284627</v>
      </c>
      <c r="G1277" s="103">
        <v>42.829726999999998</v>
      </c>
      <c r="H1277" s="102">
        <v>397</v>
      </c>
      <c r="I1277" s="102">
        <v>2382</v>
      </c>
      <c r="J1277" s="103"/>
      <c r="K1277" s="103"/>
      <c r="L1277" s="103"/>
      <c r="M1277" s="103">
        <v>337</v>
      </c>
      <c r="N1277" s="103">
        <v>60</v>
      </c>
      <c r="O1277" s="103"/>
      <c r="P1277" s="103"/>
      <c r="Q1277" s="103"/>
      <c r="R1277" s="103"/>
      <c r="S1277" s="103"/>
      <c r="T1277" s="103"/>
      <c r="U1277" s="103"/>
      <c r="V1277" s="103"/>
      <c r="W1277" s="103"/>
      <c r="X1277" s="103"/>
      <c r="Y1277" s="103"/>
      <c r="Z1277" s="103"/>
      <c r="AA1277" s="103"/>
      <c r="AB1277" s="103"/>
      <c r="AC1277" s="103"/>
      <c r="AD1277" s="103"/>
      <c r="AE1277" s="103"/>
      <c r="AF1277" s="103"/>
      <c r="AG1277" s="103">
        <v>397</v>
      </c>
      <c r="AH1277" s="103"/>
      <c r="AI1277" s="103"/>
      <c r="AJ1277" s="103"/>
      <c r="AK1277" s="103"/>
      <c r="AL1277" s="103"/>
      <c r="AM1277" s="103"/>
      <c r="AN1277" s="103"/>
      <c r="AO1277" s="103"/>
      <c r="AP1277" s="103"/>
      <c r="AQ1277" s="103"/>
      <c r="AR1277" s="103">
        <v>397</v>
      </c>
      <c r="AS1277" s="103"/>
      <c r="AT1277" s="103"/>
      <c r="AU1277" s="103"/>
      <c r="AV1277" s="103"/>
      <c r="AW1277" s="104" t="str">
        <f>HYPERLINK("http://www.openstreetmap.org/?mlat=36.2846&amp;mlon=42.8297&amp;zoom=12#map=12/36.2846/42.8297","Maplink1")</f>
        <v>Maplink1</v>
      </c>
      <c r="AX1277" s="104" t="str">
        <f>HYPERLINK("https://www.google.iq/maps/search/+36.2846,42.8297/@36.2846,42.8297,14z?hl=en","Maplink2")</f>
        <v>Maplink2</v>
      </c>
      <c r="AY1277" s="104" t="str">
        <f>HYPERLINK("http://www.bing.com/maps/?lvl=14&amp;sty=h&amp;cp=36.2846~42.8297&amp;sp=point.36.2846_42.8297","Maplink3")</f>
        <v>Maplink3</v>
      </c>
    </row>
    <row r="1278" spans="1:51" x14ac:dyDescent="0.2">
      <c r="A1278" s="102">
        <v>34103</v>
      </c>
      <c r="B1278" s="103" t="s">
        <v>35</v>
      </c>
      <c r="C1278" s="103" t="s">
        <v>102</v>
      </c>
      <c r="D1278" s="103" t="s">
        <v>3993</v>
      </c>
      <c r="E1278" s="103" t="s">
        <v>3994</v>
      </c>
      <c r="F1278" s="103">
        <v>35.729689999999998</v>
      </c>
      <c r="G1278" s="103">
        <v>43.193269000000001</v>
      </c>
      <c r="H1278" s="102">
        <v>10</v>
      </c>
      <c r="I1278" s="102">
        <v>60</v>
      </c>
      <c r="J1278" s="103"/>
      <c r="K1278" s="103"/>
      <c r="L1278" s="103"/>
      <c r="M1278" s="103">
        <v>10</v>
      </c>
      <c r="N1278" s="103"/>
      <c r="O1278" s="103"/>
      <c r="P1278" s="103"/>
      <c r="Q1278" s="103"/>
      <c r="R1278" s="103"/>
      <c r="S1278" s="103"/>
      <c r="T1278" s="103"/>
      <c r="U1278" s="103"/>
      <c r="V1278" s="103"/>
      <c r="W1278" s="103"/>
      <c r="X1278" s="103"/>
      <c r="Y1278" s="103"/>
      <c r="Z1278" s="103"/>
      <c r="AA1278" s="103"/>
      <c r="AB1278" s="103"/>
      <c r="AC1278" s="103"/>
      <c r="AD1278" s="103"/>
      <c r="AE1278" s="103"/>
      <c r="AF1278" s="103"/>
      <c r="AG1278" s="103">
        <v>10</v>
      </c>
      <c r="AH1278" s="103"/>
      <c r="AI1278" s="103"/>
      <c r="AJ1278" s="103"/>
      <c r="AK1278" s="103"/>
      <c r="AL1278" s="103"/>
      <c r="AM1278" s="103"/>
      <c r="AN1278" s="103"/>
      <c r="AO1278" s="103"/>
      <c r="AP1278" s="103"/>
      <c r="AQ1278" s="103"/>
      <c r="AR1278" s="103"/>
      <c r="AS1278" s="103">
        <v>10</v>
      </c>
      <c r="AT1278" s="103"/>
      <c r="AU1278" s="103"/>
      <c r="AV1278" s="103"/>
      <c r="AW1278" s="104" t="str">
        <f>HYPERLINK("http://www.openstreetmap.org/?mlat=35.7297&amp;mlon=43.1933&amp;zoom=12#map=12/35.7297/43.1933","Maplink1")</f>
        <v>Maplink1</v>
      </c>
      <c r="AX1278" s="104" t="str">
        <f>HYPERLINK("https://www.google.iq/maps/search/+35.7297,43.1933/@35.7297,43.1933,14z?hl=en","Maplink2")</f>
        <v>Maplink2</v>
      </c>
      <c r="AY1278" s="104" t="str">
        <f>HYPERLINK("http://www.bing.com/maps/?lvl=14&amp;sty=h&amp;cp=35.7297~43.1933&amp;sp=point.35.7297_43.1933","Maplink3")</f>
        <v>Maplink3</v>
      </c>
    </row>
    <row r="1279" spans="1:51" x14ac:dyDescent="0.2">
      <c r="A1279" s="102">
        <v>31883</v>
      </c>
      <c r="B1279" s="103" t="s">
        <v>35</v>
      </c>
      <c r="C1279" s="103" t="s">
        <v>102</v>
      </c>
      <c r="D1279" s="103" t="s">
        <v>2577</v>
      </c>
      <c r="E1279" s="103" t="s">
        <v>2578</v>
      </c>
      <c r="F1279" s="103">
        <v>36.131765999999999</v>
      </c>
      <c r="G1279" s="103">
        <v>43.205740185400003</v>
      </c>
      <c r="H1279" s="102">
        <v>25</v>
      </c>
      <c r="I1279" s="102">
        <v>150</v>
      </c>
      <c r="J1279" s="103"/>
      <c r="K1279" s="103"/>
      <c r="L1279" s="103"/>
      <c r="M1279" s="103">
        <v>25</v>
      </c>
      <c r="N1279" s="103"/>
      <c r="O1279" s="103"/>
      <c r="P1279" s="103"/>
      <c r="Q1279" s="103"/>
      <c r="R1279" s="103"/>
      <c r="S1279" s="103"/>
      <c r="T1279" s="103"/>
      <c r="U1279" s="103"/>
      <c r="V1279" s="103"/>
      <c r="W1279" s="103"/>
      <c r="X1279" s="103"/>
      <c r="Y1279" s="103"/>
      <c r="Z1279" s="103"/>
      <c r="AA1279" s="103"/>
      <c r="AB1279" s="103"/>
      <c r="AC1279" s="103"/>
      <c r="AD1279" s="103"/>
      <c r="AE1279" s="103"/>
      <c r="AF1279" s="103"/>
      <c r="AG1279" s="103">
        <v>25</v>
      </c>
      <c r="AH1279" s="103"/>
      <c r="AI1279" s="103"/>
      <c r="AJ1279" s="103"/>
      <c r="AK1279" s="103"/>
      <c r="AL1279" s="103"/>
      <c r="AM1279" s="103"/>
      <c r="AN1279" s="103"/>
      <c r="AO1279" s="103"/>
      <c r="AP1279" s="103"/>
      <c r="AQ1279" s="103"/>
      <c r="AR1279" s="103"/>
      <c r="AS1279" s="103">
        <v>25</v>
      </c>
      <c r="AT1279" s="103"/>
      <c r="AU1279" s="103"/>
      <c r="AV1279" s="103"/>
      <c r="AW1279" s="104" t="str">
        <f>HYPERLINK("http://www.openstreetmap.org/?mlat=36.1318&amp;mlon=43.2057&amp;zoom=12#map=12/36.1318/43.2057","Maplink1")</f>
        <v>Maplink1</v>
      </c>
      <c r="AX1279" s="104" t="str">
        <f>HYPERLINK("https://www.google.iq/maps/search/+36.1318,43.2057/@36.1318,43.2057,14z?hl=en","Maplink2")</f>
        <v>Maplink2</v>
      </c>
      <c r="AY1279" s="104" t="str">
        <f>HYPERLINK("http://www.bing.com/maps/?lvl=14&amp;sty=h&amp;cp=36.1318~43.2057&amp;sp=point.36.1318_43.2057","Maplink3")</f>
        <v>Maplink3</v>
      </c>
    </row>
    <row r="1280" spans="1:51" x14ac:dyDescent="0.2">
      <c r="A1280" s="102">
        <v>31916</v>
      </c>
      <c r="B1280" s="103" t="s">
        <v>35</v>
      </c>
      <c r="C1280" s="103" t="s">
        <v>102</v>
      </c>
      <c r="D1280" s="103" t="s">
        <v>2579</v>
      </c>
      <c r="E1280" s="103" t="s">
        <v>2580</v>
      </c>
      <c r="F1280" s="103">
        <v>36.3052153852</v>
      </c>
      <c r="G1280" s="103">
        <v>43.183373213800003</v>
      </c>
      <c r="H1280" s="102">
        <v>31</v>
      </c>
      <c r="I1280" s="102">
        <v>186</v>
      </c>
      <c r="J1280" s="103"/>
      <c r="K1280" s="103"/>
      <c r="L1280" s="103"/>
      <c r="M1280" s="103">
        <v>31</v>
      </c>
      <c r="N1280" s="103"/>
      <c r="O1280" s="103"/>
      <c r="P1280" s="103"/>
      <c r="Q1280" s="103"/>
      <c r="R1280" s="103"/>
      <c r="S1280" s="103"/>
      <c r="T1280" s="103"/>
      <c r="U1280" s="103"/>
      <c r="V1280" s="103"/>
      <c r="W1280" s="103">
        <v>5</v>
      </c>
      <c r="X1280" s="103"/>
      <c r="Y1280" s="103">
        <v>5</v>
      </c>
      <c r="Z1280" s="103"/>
      <c r="AA1280" s="103">
        <v>7</v>
      </c>
      <c r="AB1280" s="103">
        <v>2</v>
      </c>
      <c r="AC1280" s="103"/>
      <c r="AD1280" s="103"/>
      <c r="AE1280" s="103"/>
      <c r="AF1280" s="103"/>
      <c r="AG1280" s="103">
        <v>12</v>
      </c>
      <c r="AH1280" s="103"/>
      <c r="AI1280" s="103"/>
      <c r="AJ1280" s="103"/>
      <c r="AK1280" s="103"/>
      <c r="AL1280" s="103"/>
      <c r="AM1280" s="103"/>
      <c r="AN1280" s="103">
        <v>19</v>
      </c>
      <c r="AO1280" s="103"/>
      <c r="AP1280" s="103"/>
      <c r="AQ1280" s="103"/>
      <c r="AR1280" s="103"/>
      <c r="AS1280" s="103">
        <v>12</v>
      </c>
      <c r="AT1280" s="103"/>
      <c r="AU1280" s="103"/>
      <c r="AV1280" s="103"/>
      <c r="AW1280" s="104" t="str">
        <f>HYPERLINK("http://www.openstreetmap.org/?mlat=36.3052&amp;mlon=43.1834&amp;zoom=12#map=12/36.3052/43.1834","Maplink1")</f>
        <v>Maplink1</v>
      </c>
      <c r="AX1280" s="104" t="str">
        <f>HYPERLINK("https://www.google.iq/maps/search/+36.3052,43.1834/@36.3052,43.1834,14z?hl=en","Maplink2")</f>
        <v>Maplink2</v>
      </c>
      <c r="AY1280" s="104" t="str">
        <f>HYPERLINK("http://www.bing.com/maps/?lvl=14&amp;sty=h&amp;cp=36.3052~43.1834&amp;sp=point.36.3052_43.1834","Maplink3")</f>
        <v>Maplink3</v>
      </c>
    </row>
    <row r="1281" spans="1:51" x14ac:dyDescent="0.2">
      <c r="A1281" s="102">
        <v>33166</v>
      </c>
      <c r="B1281" s="103" t="s">
        <v>35</v>
      </c>
      <c r="C1281" s="103" t="s">
        <v>102</v>
      </c>
      <c r="D1281" s="103" t="s">
        <v>2581</v>
      </c>
      <c r="E1281" s="103" t="s">
        <v>2582</v>
      </c>
      <c r="F1281" s="103">
        <v>36.4171555904</v>
      </c>
      <c r="G1281" s="103">
        <v>42.960422825999999</v>
      </c>
      <c r="H1281" s="102">
        <v>355</v>
      </c>
      <c r="I1281" s="102">
        <v>2130</v>
      </c>
      <c r="J1281" s="103"/>
      <c r="K1281" s="103"/>
      <c r="L1281" s="103"/>
      <c r="M1281" s="103">
        <v>350</v>
      </c>
      <c r="N1281" s="103">
        <v>5</v>
      </c>
      <c r="O1281" s="103"/>
      <c r="P1281" s="103"/>
      <c r="Q1281" s="103"/>
      <c r="R1281" s="103"/>
      <c r="S1281" s="103"/>
      <c r="T1281" s="103"/>
      <c r="U1281" s="103"/>
      <c r="V1281" s="103"/>
      <c r="W1281" s="103"/>
      <c r="X1281" s="103"/>
      <c r="Y1281" s="103"/>
      <c r="Z1281" s="103"/>
      <c r="AA1281" s="103"/>
      <c r="AB1281" s="103"/>
      <c r="AC1281" s="103"/>
      <c r="AD1281" s="103"/>
      <c r="AE1281" s="103"/>
      <c r="AF1281" s="103"/>
      <c r="AG1281" s="103">
        <v>355</v>
      </c>
      <c r="AH1281" s="103"/>
      <c r="AI1281" s="103"/>
      <c r="AJ1281" s="103"/>
      <c r="AK1281" s="103"/>
      <c r="AL1281" s="103"/>
      <c r="AM1281" s="103"/>
      <c r="AN1281" s="103"/>
      <c r="AO1281" s="103"/>
      <c r="AP1281" s="103"/>
      <c r="AQ1281" s="103"/>
      <c r="AR1281" s="103"/>
      <c r="AS1281" s="103">
        <v>355</v>
      </c>
      <c r="AT1281" s="103"/>
      <c r="AU1281" s="103"/>
      <c r="AV1281" s="103"/>
      <c r="AW1281" s="104" t="str">
        <f>HYPERLINK("http://www.openstreetmap.org/?mlat=36.4172&amp;mlon=42.9604&amp;zoom=12#map=12/36.4172/42.9604","Maplink1")</f>
        <v>Maplink1</v>
      </c>
      <c r="AX1281" s="104" t="str">
        <f>HYPERLINK("https://www.google.iq/maps/search/+36.4172,42.9604/@36.4172,42.9604,14z?hl=en","Maplink2")</f>
        <v>Maplink2</v>
      </c>
      <c r="AY1281" s="104" t="str">
        <f>HYPERLINK("http://www.bing.com/maps/?lvl=14&amp;sty=h&amp;cp=36.4172~42.9604&amp;sp=point.36.4172_42.9604","Maplink3")</f>
        <v>Maplink3</v>
      </c>
    </row>
    <row r="1282" spans="1:51" x14ac:dyDescent="0.2">
      <c r="A1282" s="102">
        <v>33606</v>
      </c>
      <c r="B1282" s="103" t="s">
        <v>35</v>
      </c>
      <c r="C1282" s="103" t="s">
        <v>102</v>
      </c>
      <c r="D1282" s="103" t="s">
        <v>2583</v>
      </c>
      <c r="E1282" s="103" t="s">
        <v>2584</v>
      </c>
      <c r="F1282" s="103">
        <v>36.427481</v>
      </c>
      <c r="G1282" s="103">
        <v>42.958727119400002</v>
      </c>
      <c r="H1282" s="102">
        <v>210</v>
      </c>
      <c r="I1282" s="102">
        <v>1260</v>
      </c>
      <c r="J1282" s="103"/>
      <c r="K1282" s="103"/>
      <c r="L1282" s="103"/>
      <c r="M1282" s="103">
        <v>200</v>
      </c>
      <c r="N1282" s="103">
        <v>10</v>
      </c>
      <c r="O1282" s="103"/>
      <c r="P1282" s="103"/>
      <c r="Q1282" s="103"/>
      <c r="R1282" s="103"/>
      <c r="S1282" s="103"/>
      <c r="T1282" s="103"/>
      <c r="U1282" s="103"/>
      <c r="V1282" s="103"/>
      <c r="W1282" s="103"/>
      <c r="X1282" s="103"/>
      <c r="Y1282" s="103"/>
      <c r="Z1282" s="103"/>
      <c r="AA1282" s="103"/>
      <c r="AB1282" s="103"/>
      <c r="AC1282" s="103"/>
      <c r="AD1282" s="103"/>
      <c r="AE1282" s="103"/>
      <c r="AF1282" s="103"/>
      <c r="AG1282" s="103">
        <v>210</v>
      </c>
      <c r="AH1282" s="103"/>
      <c r="AI1282" s="103"/>
      <c r="AJ1282" s="103"/>
      <c r="AK1282" s="103"/>
      <c r="AL1282" s="103"/>
      <c r="AM1282" s="103"/>
      <c r="AN1282" s="103"/>
      <c r="AO1282" s="103"/>
      <c r="AP1282" s="103"/>
      <c r="AQ1282" s="103"/>
      <c r="AR1282" s="103"/>
      <c r="AS1282" s="103"/>
      <c r="AT1282" s="103">
        <v>210</v>
      </c>
      <c r="AU1282" s="103"/>
      <c r="AV1282" s="103"/>
      <c r="AW1282" s="104" t="str">
        <f>HYPERLINK("http://www.openstreetmap.org/?mlat=36.4275&amp;mlon=42.9587&amp;zoom=12#map=12/36.4275/42.9587","Maplink1")</f>
        <v>Maplink1</v>
      </c>
      <c r="AX1282" s="104" t="str">
        <f>HYPERLINK("https://www.google.iq/maps/search/+36.4275,42.9587/@36.4275,42.9587,14z?hl=en","Maplink2")</f>
        <v>Maplink2</v>
      </c>
      <c r="AY1282" s="104" t="str">
        <f>HYPERLINK("http://www.bing.com/maps/?lvl=14&amp;sty=h&amp;cp=36.4275~42.9587&amp;sp=point.36.4275_42.9587","Maplink3")</f>
        <v>Maplink3</v>
      </c>
    </row>
    <row r="1283" spans="1:51" x14ac:dyDescent="0.2">
      <c r="A1283" s="102">
        <v>34100</v>
      </c>
      <c r="B1283" s="103" t="s">
        <v>35</v>
      </c>
      <c r="C1283" s="103" t="s">
        <v>102</v>
      </c>
      <c r="D1283" s="103" t="s">
        <v>3995</v>
      </c>
      <c r="E1283" s="103" t="s">
        <v>3996</v>
      </c>
      <c r="F1283" s="103">
        <v>35.781754999999997</v>
      </c>
      <c r="G1283" s="103">
        <v>43.267552999999999</v>
      </c>
      <c r="H1283" s="102">
        <v>20</v>
      </c>
      <c r="I1283" s="102">
        <v>120</v>
      </c>
      <c r="J1283" s="103"/>
      <c r="K1283" s="103"/>
      <c r="L1283" s="103"/>
      <c r="M1283" s="103">
        <v>20</v>
      </c>
      <c r="N1283" s="103"/>
      <c r="O1283" s="103"/>
      <c r="P1283" s="103"/>
      <c r="Q1283" s="103"/>
      <c r="R1283" s="103"/>
      <c r="S1283" s="103"/>
      <c r="T1283" s="103"/>
      <c r="U1283" s="103"/>
      <c r="V1283" s="103"/>
      <c r="W1283" s="103"/>
      <c r="X1283" s="103"/>
      <c r="Y1283" s="103">
        <v>3</v>
      </c>
      <c r="Z1283" s="103"/>
      <c r="AA1283" s="103"/>
      <c r="AB1283" s="103"/>
      <c r="AC1283" s="103"/>
      <c r="AD1283" s="103"/>
      <c r="AE1283" s="103"/>
      <c r="AF1283" s="103"/>
      <c r="AG1283" s="103">
        <v>17</v>
      </c>
      <c r="AH1283" s="103"/>
      <c r="AI1283" s="103"/>
      <c r="AJ1283" s="103"/>
      <c r="AK1283" s="103"/>
      <c r="AL1283" s="103"/>
      <c r="AM1283" s="103"/>
      <c r="AN1283" s="103"/>
      <c r="AO1283" s="103">
        <v>3</v>
      </c>
      <c r="AP1283" s="103"/>
      <c r="AQ1283" s="103"/>
      <c r="AR1283" s="103"/>
      <c r="AS1283" s="103">
        <v>17</v>
      </c>
      <c r="AT1283" s="103"/>
      <c r="AU1283" s="103"/>
      <c r="AV1283" s="103"/>
      <c r="AW1283" s="104" t="str">
        <f>HYPERLINK("http://www.openstreetmap.org/?mlat=35.7818&amp;mlon=43.2676&amp;zoom=12#map=12/35.7818/43.2676","Maplink1")</f>
        <v>Maplink1</v>
      </c>
      <c r="AX1283" s="104" t="str">
        <f>HYPERLINK("https://www.google.iq/maps/search/+35.7818,43.2676/@35.7818,43.2676,14z?hl=en","Maplink2")</f>
        <v>Maplink2</v>
      </c>
      <c r="AY1283" s="104" t="str">
        <f>HYPERLINK("http://www.bing.com/maps/?lvl=14&amp;sty=h&amp;cp=35.7818~43.2676&amp;sp=point.35.7818_43.2676","Maplink3")</f>
        <v>Maplink3</v>
      </c>
    </row>
    <row r="1284" spans="1:51" x14ac:dyDescent="0.2">
      <c r="A1284" s="102">
        <v>31886</v>
      </c>
      <c r="B1284" s="103" t="s">
        <v>35</v>
      </c>
      <c r="C1284" s="103" t="s">
        <v>102</v>
      </c>
      <c r="D1284" s="103" t="s">
        <v>2395</v>
      </c>
      <c r="E1284" s="103" t="s">
        <v>2358</v>
      </c>
      <c r="F1284" s="103">
        <v>36.169798</v>
      </c>
      <c r="G1284" s="103">
        <v>43.220370997700002</v>
      </c>
      <c r="H1284" s="102">
        <v>60</v>
      </c>
      <c r="I1284" s="102">
        <v>360</v>
      </c>
      <c r="J1284" s="103"/>
      <c r="K1284" s="103"/>
      <c r="L1284" s="103"/>
      <c r="M1284" s="103">
        <v>60</v>
      </c>
      <c r="N1284" s="103"/>
      <c r="O1284" s="103"/>
      <c r="P1284" s="103"/>
      <c r="Q1284" s="103"/>
      <c r="R1284" s="103"/>
      <c r="S1284" s="103"/>
      <c r="T1284" s="103"/>
      <c r="U1284" s="103"/>
      <c r="V1284" s="103"/>
      <c r="W1284" s="103"/>
      <c r="X1284" s="103"/>
      <c r="Y1284" s="103"/>
      <c r="Z1284" s="103"/>
      <c r="AA1284" s="103"/>
      <c r="AB1284" s="103"/>
      <c r="AC1284" s="103">
        <v>10</v>
      </c>
      <c r="AD1284" s="103"/>
      <c r="AE1284" s="103"/>
      <c r="AF1284" s="103"/>
      <c r="AG1284" s="103">
        <v>50</v>
      </c>
      <c r="AH1284" s="103"/>
      <c r="AI1284" s="103"/>
      <c r="AJ1284" s="103"/>
      <c r="AK1284" s="103"/>
      <c r="AL1284" s="103"/>
      <c r="AM1284" s="103"/>
      <c r="AN1284" s="103"/>
      <c r="AO1284" s="103"/>
      <c r="AP1284" s="103">
        <v>10</v>
      </c>
      <c r="AQ1284" s="103"/>
      <c r="AR1284" s="103"/>
      <c r="AS1284" s="103">
        <v>50</v>
      </c>
      <c r="AT1284" s="103"/>
      <c r="AU1284" s="103"/>
      <c r="AV1284" s="103"/>
      <c r="AW1284" s="104" t="str">
        <f>HYPERLINK("http://www.openstreetmap.org/?mlat=36.1698&amp;mlon=43.2204&amp;zoom=12#map=12/36.1698/43.2204","Maplink1")</f>
        <v>Maplink1</v>
      </c>
      <c r="AX1284" s="104" t="str">
        <f>HYPERLINK("https://www.google.iq/maps/search/+36.1698,43.2204/@36.1698,43.2204,14z?hl=en","Maplink2")</f>
        <v>Maplink2</v>
      </c>
      <c r="AY1284" s="104" t="str">
        <f>HYPERLINK("http://www.bing.com/maps/?lvl=14&amp;sty=h&amp;cp=36.1698~43.2204&amp;sp=point.36.1698_43.2204","Maplink3")</f>
        <v>Maplink3</v>
      </c>
    </row>
    <row r="1285" spans="1:51" x14ac:dyDescent="0.2">
      <c r="A1285" s="102">
        <v>31939</v>
      </c>
      <c r="B1285" s="103" t="s">
        <v>35</v>
      </c>
      <c r="C1285" s="103" t="s">
        <v>102</v>
      </c>
      <c r="D1285" s="103" t="s">
        <v>2396</v>
      </c>
      <c r="E1285" s="103" t="s">
        <v>2397</v>
      </c>
      <c r="F1285" s="103">
        <v>35.732619183399997</v>
      </c>
      <c r="G1285" s="103">
        <v>43.324192687900002</v>
      </c>
      <c r="H1285" s="102">
        <v>350</v>
      </c>
      <c r="I1285" s="102">
        <v>2100</v>
      </c>
      <c r="J1285" s="103"/>
      <c r="K1285" s="103"/>
      <c r="L1285" s="103"/>
      <c r="M1285" s="103">
        <v>345</v>
      </c>
      <c r="N1285" s="103">
        <v>5</v>
      </c>
      <c r="O1285" s="103"/>
      <c r="P1285" s="103"/>
      <c r="Q1285" s="103"/>
      <c r="R1285" s="103"/>
      <c r="S1285" s="103"/>
      <c r="T1285" s="103"/>
      <c r="U1285" s="103"/>
      <c r="V1285" s="103"/>
      <c r="W1285" s="103"/>
      <c r="X1285" s="103"/>
      <c r="Y1285" s="103"/>
      <c r="Z1285" s="103"/>
      <c r="AA1285" s="103">
        <v>350</v>
      </c>
      <c r="AB1285" s="103"/>
      <c r="AC1285" s="103"/>
      <c r="AD1285" s="103"/>
      <c r="AE1285" s="103"/>
      <c r="AF1285" s="103"/>
      <c r="AG1285" s="103"/>
      <c r="AH1285" s="103"/>
      <c r="AI1285" s="103"/>
      <c r="AJ1285" s="103"/>
      <c r="AK1285" s="103"/>
      <c r="AL1285" s="103"/>
      <c r="AM1285" s="103"/>
      <c r="AN1285" s="103"/>
      <c r="AO1285" s="103"/>
      <c r="AP1285" s="103"/>
      <c r="AQ1285" s="103"/>
      <c r="AR1285" s="103">
        <v>350</v>
      </c>
      <c r="AS1285" s="103"/>
      <c r="AT1285" s="103"/>
      <c r="AU1285" s="103"/>
      <c r="AV1285" s="103"/>
      <c r="AW1285" s="104" t="str">
        <f>HYPERLINK("http://www.openstreetmap.org/?mlat=35.7326&amp;mlon=43.3242&amp;zoom=12#map=12/35.7326/43.3242","Maplink1")</f>
        <v>Maplink1</v>
      </c>
      <c r="AX1285" s="104" t="str">
        <f>HYPERLINK("https://www.google.iq/maps/search/+35.7326,43.3242/@35.7326,43.3242,14z?hl=en","Maplink2")</f>
        <v>Maplink2</v>
      </c>
      <c r="AY1285" s="104" t="str">
        <f>HYPERLINK("http://www.bing.com/maps/?lvl=14&amp;sty=h&amp;cp=35.7326~43.3242&amp;sp=point.35.7326_43.3242","Maplink3")</f>
        <v>Maplink3</v>
      </c>
    </row>
    <row r="1286" spans="1:51" x14ac:dyDescent="0.2">
      <c r="A1286" s="102">
        <v>31948</v>
      </c>
      <c r="B1286" s="103" t="s">
        <v>35</v>
      </c>
      <c r="C1286" s="103" t="s">
        <v>102</v>
      </c>
      <c r="D1286" s="103" t="s">
        <v>2398</v>
      </c>
      <c r="E1286" s="103" t="s">
        <v>2399</v>
      </c>
      <c r="F1286" s="103">
        <v>36.107315962000001</v>
      </c>
      <c r="G1286" s="103">
        <v>43.123784352400001</v>
      </c>
      <c r="H1286" s="102">
        <v>101</v>
      </c>
      <c r="I1286" s="102">
        <v>606</v>
      </c>
      <c r="J1286" s="103"/>
      <c r="K1286" s="103"/>
      <c r="L1286" s="103"/>
      <c r="M1286" s="103">
        <v>96</v>
      </c>
      <c r="N1286" s="103">
        <v>5</v>
      </c>
      <c r="O1286" s="103"/>
      <c r="P1286" s="103"/>
      <c r="Q1286" s="103"/>
      <c r="R1286" s="103"/>
      <c r="S1286" s="103"/>
      <c r="T1286" s="103"/>
      <c r="U1286" s="103"/>
      <c r="V1286" s="103"/>
      <c r="W1286" s="103"/>
      <c r="X1286" s="103"/>
      <c r="Y1286" s="103"/>
      <c r="Z1286" s="103"/>
      <c r="AA1286" s="103"/>
      <c r="AB1286" s="103"/>
      <c r="AC1286" s="103"/>
      <c r="AD1286" s="103"/>
      <c r="AE1286" s="103"/>
      <c r="AF1286" s="103"/>
      <c r="AG1286" s="103">
        <v>101</v>
      </c>
      <c r="AH1286" s="103"/>
      <c r="AI1286" s="103"/>
      <c r="AJ1286" s="103"/>
      <c r="AK1286" s="103"/>
      <c r="AL1286" s="103"/>
      <c r="AM1286" s="103"/>
      <c r="AN1286" s="103"/>
      <c r="AO1286" s="103"/>
      <c r="AP1286" s="103"/>
      <c r="AQ1286" s="103"/>
      <c r="AR1286" s="103"/>
      <c r="AS1286" s="103">
        <v>101</v>
      </c>
      <c r="AT1286" s="103"/>
      <c r="AU1286" s="103"/>
      <c r="AV1286" s="103"/>
      <c r="AW1286" s="104" t="str">
        <f>HYPERLINK("http://www.openstreetmap.org/?mlat=36.1073&amp;mlon=43.1238&amp;zoom=12#map=12/36.1073/43.1238","Maplink1")</f>
        <v>Maplink1</v>
      </c>
      <c r="AX1286" s="104" t="str">
        <f>HYPERLINK("https://www.google.iq/maps/search/+36.1073,43.1238/@36.1073,43.1238,14z?hl=en","Maplink2")</f>
        <v>Maplink2</v>
      </c>
      <c r="AY1286" s="104" t="str">
        <f>HYPERLINK("http://www.bing.com/maps/?lvl=14&amp;sty=h&amp;cp=36.1073~43.1238&amp;sp=point.36.1073_43.1238","Maplink3")</f>
        <v>Maplink3</v>
      </c>
    </row>
    <row r="1287" spans="1:51" x14ac:dyDescent="0.2">
      <c r="A1287" s="102">
        <v>31936</v>
      </c>
      <c r="B1287" s="103" t="s">
        <v>35</v>
      </c>
      <c r="C1287" s="103" t="s">
        <v>102</v>
      </c>
      <c r="D1287" s="103" t="s">
        <v>2400</v>
      </c>
      <c r="E1287" s="103" t="s">
        <v>2401</v>
      </c>
      <c r="F1287" s="103">
        <v>35.648793276799999</v>
      </c>
      <c r="G1287" s="103">
        <v>43.232679539499998</v>
      </c>
      <c r="H1287" s="102">
        <v>700</v>
      </c>
      <c r="I1287" s="102">
        <v>4200</v>
      </c>
      <c r="J1287" s="103"/>
      <c r="K1287" s="103"/>
      <c r="L1287" s="103"/>
      <c r="M1287" s="103">
        <v>695</v>
      </c>
      <c r="N1287" s="103">
        <v>5</v>
      </c>
      <c r="O1287" s="103"/>
      <c r="P1287" s="103"/>
      <c r="Q1287" s="103"/>
      <c r="R1287" s="103"/>
      <c r="S1287" s="103"/>
      <c r="T1287" s="103"/>
      <c r="U1287" s="103"/>
      <c r="V1287" s="103"/>
      <c r="W1287" s="103"/>
      <c r="X1287" s="103"/>
      <c r="Y1287" s="103"/>
      <c r="Z1287" s="103"/>
      <c r="AA1287" s="103">
        <v>203</v>
      </c>
      <c r="AB1287" s="103"/>
      <c r="AC1287" s="103">
        <v>2</v>
      </c>
      <c r="AD1287" s="103"/>
      <c r="AE1287" s="103"/>
      <c r="AF1287" s="103"/>
      <c r="AG1287" s="103">
        <v>95</v>
      </c>
      <c r="AH1287" s="103"/>
      <c r="AI1287" s="103">
        <v>400</v>
      </c>
      <c r="AJ1287" s="103"/>
      <c r="AK1287" s="103"/>
      <c r="AL1287" s="103"/>
      <c r="AM1287" s="103"/>
      <c r="AN1287" s="103"/>
      <c r="AO1287" s="103"/>
      <c r="AP1287" s="103"/>
      <c r="AQ1287" s="103"/>
      <c r="AR1287" s="103">
        <v>600</v>
      </c>
      <c r="AS1287" s="103">
        <v>100</v>
      </c>
      <c r="AT1287" s="103"/>
      <c r="AU1287" s="103"/>
      <c r="AV1287" s="103"/>
      <c r="AW1287" s="104" t="str">
        <f>HYPERLINK("http://www.openstreetmap.org/?mlat=35.6488&amp;mlon=43.2327&amp;zoom=12#map=12/35.6488/43.2327","Maplink1")</f>
        <v>Maplink1</v>
      </c>
      <c r="AX1287" s="104" t="str">
        <f>HYPERLINK("https://www.google.iq/maps/search/+35.6488,43.2327/@35.6488,43.2327,14z?hl=en","Maplink2")</f>
        <v>Maplink2</v>
      </c>
      <c r="AY1287" s="104" t="str">
        <f>HYPERLINK("http://www.bing.com/maps/?lvl=14&amp;sty=h&amp;cp=35.6488~43.2327&amp;sp=point.35.6488_43.2327","Maplink3")</f>
        <v>Maplink3</v>
      </c>
    </row>
    <row r="1288" spans="1:51" x14ac:dyDescent="0.2">
      <c r="A1288" s="102">
        <v>17869</v>
      </c>
      <c r="B1288" s="103" t="s">
        <v>35</v>
      </c>
      <c r="C1288" s="103" t="s">
        <v>102</v>
      </c>
      <c r="D1288" s="103" t="s">
        <v>2402</v>
      </c>
      <c r="E1288" s="103" t="s">
        <v>2403</v>
      </c>
      <c r="F1288" s="103">
        <v>36.275441999999998</v>
      </c>
      <c r="G1288" s="103">
        <v>42.883981369300002</v>
      </c>
      <c r="H1288" s="102">
        <v>236</v>
      </c>
      <c r="I1288" s="102">
        <v>1416</v>
      </c>
      <c r="J1288" s="103"/>
      <c r="K1288" s="103"/>
      <c r="L1288" s="103"/>
      <c r="M1288" s="103">
        <v>195</v>
      </c>
      <c r="N1288" s="103">
        <v>41</v>
      </c>
      <c r="O1288" s="103"/>
      <c r="P1288" s="103"/>
      <c r="Q1288" s="103"/>
      <c r="R1288" s="103"/>
      <c r="S1288" s="103"/>
      <c r="T1288" s="103"/>
      <c r="U1288" s="103"/>
      <c r="V1288" s="103"/>
      <c r="W1288" s="103"/>
      <c r="X1288" s="103"/>
      <c r="Y1288" s="103"/>
      <c r="Z1288" s="103"/>
      <c r="AA1288" s="103"/>
      <c r="AB1288" s="103"/>
      <c r="AC1288" s="103"/>
      <c r="AD1288" s="103"/>
      <c r="AE1288" s="103"/>
      <c r="AF1288" s="103"/>
      <c r="AG1288" s="103">
        <v>236</v>
      </c>
      <c r="AH1288" s="103"/>
      <c r="AI1288" s="103"/>
      <c r="AJ1288" s="103"/>
      <c r="AK1288" s="103"/>
      <c r="AL1288" s="103"/>
      <c r="AM1288" s="103"/>
      <c r="AN1288" s="103"/>
      <c r="AO1288" s="103"/>
      <c r="AP1288" s="103"/>
      <c r="AQ1288" s="103"/>
      <c r="AR1288" s="103"/>
      <c r="AS1288" s="103">
        <v>236</v>
      </c>
      <c r="AT1288" s="103"/>
      <c r="AU1288" s="103"/>
      <c r="AV1288" s="103"/>
      <c r="AW1288" s="104" t="str">
        <f>HYPERLINK("http://www.openstreetmap.org/?mlat=36.2754&amp;mlon=42.884&amp;zoom=12#map=12/36.2754/42.884","Maplink1")</f>
        <v>Maplink1</v>
      </c>
      <c r="AX1288" s="104" t="str">
        <f>HYPERLINK("https://www.google.iq/maps/search/+36.2754,42.884/@36.2754,42.884,14z?hl=en","Maplink2")</f>
        <v>Maplink2</v>
      </c>
      <c r="AY1288" s="104" t="str">
        <f>HYPERLINK("http://www.bing.com/maps/?lvl=14&amp;sty=h&amp;cp=36.2754~42.884&amp;sp=point.36.2754_42.884","Maplink3")</f>
        <v>Maplink3</v>
      </c>
    </row>
    <row r="1289" spans="1:51" x14ac:dyDescent="0.2">
      <c r="A1289" s="102">
        <v>18392</v>
      </c>
      <c r="B1289" s="103" t="s">
        <v>35</v>
      </c>
      <c r="C1289" s="103" t="s">
        <v>102</v>
      </c>
      <c r="D1289" s="103" t="s">
        <v>2404</v>
      </c>
      <c r="E1289" s="103" t="s">
        <v>2405</v>
      </c>
      <c r="F1289" s="103">
        <v>36.388809999999999</v>
      </c>
      <c r="G1289" s="103">
        <v>43.186221403200001</v>
      </c>
      <c r="H1289" s="102">
        <v>536</v>
      </c>
      <c r="I1289" s="102">
        <v>3216</v>
      </c>
      <c r="J1289" s="103"/>
      <c r="K1289" s="103"/>
      <c r="L1289" s="103"/>
      <c r="M1289" s="103">
        <v>536</v>
      </c>
      <c r="N1289" s="103"/>
      <c r="O1289" s="103"/>
      <c r="P1289" s="103"/>
      <c r="Q1289" s="103"/>
      <c r="R1289" s="103"/>
      <c r="S1289" s="103"/>
      <c r="T1289" s="103"/>
      <c r="U1289" s="103"/>
      <c r="V1289" s="103"/>
      <c r="W1289" s="103">
        <v>10</v>
      </c>
      <c r="X1289" s="103"/>
      <c r="Y1289" s="103">
        <v>38</v>
      </c>
      <c r="Z1289" s="103"/>
      <c r="AA1289" s="103">
        <v>30</v>
      </c>
      <c r="AB1289" s="103"/>
      <c r="AC1289" s="103"/>
      <c r="AD1289" s="103"/>
      <c r="AE1289" s="103"/>
      <c r="AF1289" s="103"/>
      <c r="AG1289" s="103">
        <v>458</v>
      </c>
      <c r="AH1289" s="103"/>
      <c r="AI1289" s="103"/>
      <c r="AJ1289" s="103"/>
      <c r="AK1289" s="103"/>
      <c r="AL1289" s="103"/>
      <c r="AM1289" s="103"/>
      <c r="AN1289" s="103">
        <v>78</v>
      </c>
      <c r="AO1289" s="103"/>
      <c r="AP1289" s="103"/>
      <c r="AQ1289" s="103"/>
      <c r="AR1289" s="103"/>
      <c r="AS1289" s="103">
        <v>458</v>
      </c>
      <c r="AT1289" s="103"/>
      <c r="AU1289" s="103"/>
      <c r="AV1289" s="103"/>
      <c r="AW1289" s="104" t="str">
        <f>HYPERLINK("http://www.openstreetmap.org/?mlat=36.3888&amp;mlon=43.1862&amp;zoom=12#map=12/36.3888/43.1862","Maplink1")</f>
        <v>Maplink1</v>
      </c>
      <c r="AX1289" s="104" t="str">
        <f>HYPERLINK("https://www.google.iq/maps/search/+36.3888,43.1862/@36.3888,43.1862,14z?hl=en","Maplink2")</f>
        <v>Maplink2</v>
      </c>
      <c r="AY1289" s="104" t="str">
        <f>HYPERLINK("http://www.bing.com/maps/?lvl=14&amp;sty=h&amp;cp=36.3888~43.1862&amp;sp=point.36.3888_43.1862","Maplink3")</f>
        <v>Maplink3</v>
      </c>
    </row>
    <row r="1290" spans="1:51" x14ac:dyDescent="0.2">
      <c r="A1290" s="102">
        <v>13676</v>
      </c>
      <c r="B1290" s="103" t="s">
        <v>35</v>
      </c>
      <c r="C1290" s="103" t="s">
        <v>102</v>
      </c>
      <c r="D1290" s="103" t="s">
        <v>2406</v>
      </c>
      <c r="E1290" s="103" t="s">
        <v>2407</v>
      </c>
      <c r="F1290" s="103">
        <v>36.347589999999997</v>
      </c>
      <c r="G1290" s="103">
        <v>43.127911056400002</v>
      </c>
      <c r="H1290" s="102">
        <v>320</v>
      </c>
      <c r="I1290" s="102">
        <v>1920</v>
      </c>
      <c r="J1290" s="103"/>
      <c r="K1290" s="103"/>
      <c r="L1290" s="103"/>
      <c r="M1290" s="103">
        <v>176</v>
      </c>
      <c r="N1290" s="103">
        <v>144</v>
      </c>
      <c r="O1290" s="103"/>
      <c r="P1290" s="103"/>
      <c r="Q1290" s="103"/>
      <c r="R1290" s="103"/>
      <c r="S1290" s="103"/>
      <c r="T1290" s="103"/>
      <c r="U1290" s="103"/>
      <c r="V1290" s="103"/>
      <c r="W1290" s="103"/>
      <c r="X1290" s="103"/>
      <c r="Y1290" s="103"/>
      <c r="Z1290" s="103"/>
      <c r="AA1290" s="103"/>
      <c r="AB1290" s="103"/>
      <c r="AC1290" s="103"/>
      <c r="AD1290" s="103"/>
      <c r="AE1290" s="103"/>
      <c r="AF1290" s="103"/>
      <c r="AG1290" s="103">
        <v>320</v>
      </c>
      <c r="AH1290" s="103"/>
      <c r="AI1290" s="103"/>
      <c r="AJ1290" s="103"/>
      <c r="AK1290" s="103"/>
      <c r="AL1290" s="103"/>
      <c r="AM1290" s="103"/>
      <c r="AN1290" s="103"/>
      <c r="AO1290" s="103"/>
      <c r="AP1290" s="103"/>
      <c r="AQ1290" s="103"/>
      <c r="AR1290" s="103"/>
      <c r="AS1290" s="103">
        <v>320</v>
      </c>
      <c r="AT1290" s="103"/>
      <c r="AU1290" s="103"/>
      <c r="AV1290" s="103"/>
      <c r="AW1290" s="104" t="str">
        <f>HYPERLINK("http://www.openstreetmap.org/?mlat=36.3476&amp;mlon=43.1279&amp;zoom=12#map=12/36.3476/43.1279","Maplink1")</f>
        <v>Maplink1</v>
      </c>
      <c r="AX1290" s="104" t="str">
        <f>HYPERLINK("https://www.google.iq/maps/search/+36.3476,43.1279/@36.3476,43.1279,14z?hl=en","Maplink2")</f>
        <v>Maplink2</v>
      </c>
      <c r="AY1290" s="104" t="str">
        <f>HYPERLINK("http://www.bing.com/maps/?lvl=14&amp;sty=h&amp;cp=36.3476~43.1279&amp;sp=point.36.3476_43.1279","Maplink3")</f>
        <v>Maplink3</v>
      </c>
    </row>
    <row r="1291" spans="1:51" x14ac:dyDescent="0.2">
      <c r="A1291" s="102">
        <v>33703</v>
      </c>
      <c r="B1291" s="103" t="s">
        <v>35</v>
      </c>
      <c r="C1291" s="103" t="s">
        <v>102</v>
      </c>
      <c r="D1291" s="103" t="s">
        <v>2408</v>
      </c>
      <c r="E1291" s="103" t="s">
        <v>274</v>
      </c>
      <c r="F1291" s="103">
        <v>36.175620000000002</v>
      </c>
      <c r="G1291" s="103">
        <v>43.249308247800002</v>
      </c>
      <c r="H1291" s="102">
        <v>102</v>
      </c>
      <c r="I1291" s="102">
        <v>612</v>
      </c>
      <c r="J1291" s="103"/>
      <c r="K1291" s="103"/>
      <c r="L1291" s="103"/>
      <c r="M1291" s="103">
        <v>102</v>
      </c>
      <c r="N1291" s="103"/>
      <c r="O1291" s="103"/>
      <c r="P1291" s="103"/>
      <c r="Q1291" s="103"/>
      <c r="R1291" s="103"/>
      <c r="S1291" s="103"/>
      <c r="T1291" s="103"/>
      <c r="U1291" s="103"/>
      <c r="V1291" s="103"/>
      <c r="W1291" s="103"/>
      <c r="X1291" s="103"/>
      <c r="Y1291" s="103"/>
      <c r="Z1291" s="103"/>
      <c r="AA1291" s="103"/>
      <c r="AB1291" s="103"/>
      <c r="AC1291" s="103"/>
      <c r="AD1291" s="103"/>
      <c r="AE1291" s="103"/>
      <c r="AF1291" s="103"/>
      <c r="AG1291" s="103">
        <v>102</v>
      </c>
      <c r="AH1291" s="103"/>
      <c r="AI1291" s="103"/>
      <c r="AJ1291" s="103"/>
      <c r="AK1291" s="103"/>
      <c r="AL1291" s="103"/>
      <c r="AM1291" s="103"/>
      <c r="AN1291" s="103"/>
      <c r="AO1291" s="103"/>
      <c r="AP1291" s="103"/>
      <c r="AQ1291" s="103"/>
      <c r="AR1291" s="103"/>
      <c r="AS1291" s="103">
        <v>102</v>
      </c>
      <c r="AT1291" s="103"/>
      <c r="AU1291" s="103"/>
      <c r="AV1291" s="103"/>
      <c r="AW1291" s="104" t="str">
        <f>HYPERLINK("http://www.openstreetmap.org/?mlat=36.1756&amp;mlon=43.2493&amp;zoom=12#map=12/36.1756/43.2493","Maplink1")</f>
        <v>Maplink1</v>
      </c>
      <c r="AX1291" s="104" t="str">
        <f>HYPERLINK("https://www.google.iq/maps/search/+36.1756,43.2493/@36.1756,43.2493,14z?hl=en","Maplink2")</f>
        <v>Maplink2</v>
      </c>
      <c r="AY1291" s="104" t="str">
        <f>HYPERLINK("http://www.bing.com/maps/?lvl=14&amp;sty=h&amp;cp=36.1756~43.2493&amp;sp=point.36.1756_43.2493","Maplink3")</f>
        <v>Maplink3</v>
      </c>
    </row>
    <row r="1292" spans="1:51" x14ac:dyDescent="0.2">
      <c r="A1292" s="102">
        <v>33708</v>
      </c>
      <c r="B1292" s="103" t="s">
        <v>35</v>
      </c>
      <c r="C1292" s="103" t="s">
        <v>102</v>
      </c>
      <c r="D1292" s="103" t="s">
        <v>2409</v>
      </c>
      <c r="E1292" s="103" t="s">
        <v>2410</v>
      </c>
      <c r="F1292" s="103">
        <v>36.351570000000002</v>
      </c>
      <c r="G1292" s="103">
        <v>42.981331824400002</v>
      </c>
      <c r="H1292" s="102">
        <v>40</v>
      </c>
      <c r="I1292" s="102">
        <v>240</v>
      </c>
      <c r="J1292" s="103"/>
      <c r="K1292" s="103"/>
      <c r="L1292" s="103"/>
      <c r="M1292" s="103">
        <v>32</v>
      </c>
      <c r="N1292" s="103">
        <v>8</v>
      </c>
      <c r="O1292" s="103"/>
      <c r="P1292" s="103"/>
      <c r="Q1292" s="103"/>
      <c r="R1292" s="103"/>
      <c r="S1292" s="103"/>
      <c r="T1292" s="103"/>
      <c r="U1292" s="103"/>
      <c r="V1292" s="103"/>
      <c r="W1292" s="103"/>
      <c r="X1292" s="103"/>
      <c r="Y1292" s="103"/>
      <c r="Z1292" s="103"/>
      <c r="AA1292" s="103"/>
      <c r="AB1292" s="103"/>
      <c r="AC1292" s="103"/>
      <c r="AD1292" s="103"/>
      <c r="AE1292" s="103"/>
      <c r="AF1292" s="103"/>
      <c r="AG1292" s="103">
        <v>40</v>
      </c>
      <c r="AH1292" s="103"/>
      <c r="AI1292" s="103"/>
      <c r="AJ1292" s="103"/>
      <c r="AK1292" s="103"/>
      <c r="AL1292" s="103"/>
      <c r="AM1292" s="103"/>
      <c r="AN1292" s="103"/>
      <c r="AO1292" s="103"/>
      <c r="AP1292" s="103"/>
      <c r="AQ1292" s="103"/>
      <c r="AR1292" s="103"/>
      <c r="AS1292" s="103">
        <v>40</v>
      </c>
      <c r="AT1292" s="103"/>
      <c r="AU1292" s="103"/>
      <c r="AV1292" s="103"/>
      <c r="AW1292" s="104" t="str">
        <f>HYPERLINK("http://www.openstreetmap.org/?mlat=36.3516&amp;mlon=42.9813&amp;zoom=12#map=12/36.3516/42.9813","Maplink1")</f>
        <v>Maplink1</v>
      </c>
      <c r="AX1292" s="104" t="str">
        <f>HYPERLINK("https://www.google.iq/maps/search/+36.3516,42.9813/@36.3516,42.9813,14z?hl=en","Maplink2")</f>
        <v>Maplink2</v>
      </c>
      <c r="AY1292" s="104" t="str">
        <f>HYPERLINK("http://www.bing.com/maps/?lvl=14&amp;sty=h&amp;cp=36.3516~42.9813&amp;sp=point.36.3516_42.9813","Maplink3")</f>
        <v>Maplink3</v>
      </c>
    </row>
    <row r="1293" spans="1:51" x14ac:dyDescent="0.2">
      <c r="A1293" s="102">
        <v>34105</v>
      </c>
      <c r="B1293" s="103" t="s">
        <v>35</v>
      </c>
      <c r="C1293" s="103" t="s">
        <v>102</v>
      </c>
      <c r="D1293" s="103" t="s">
        <v>3997</v>
      </c>
      <c r="E1293" s="103" t="s">
        <v>3998</v>
      </c>
      <c r="F1293" s="103">
        <v>35.780264000000003</v>
      </c>
      <c r="G1293" s="103">
        <v>43.280971000000001</v>
      </c>
      <c r="H1293" s="102">
        <v>10</v>
      </c>
      <c r="I1293" s="102">
        <v>60</v>
      </c>
      <c r="J1293" s="103"/>
      <c r="K1293" s="103"/>
      <c r="L1293" s="103"/>
      <c r="M1293" s="103">
        <v>10</v>
      </c>
      <c r="N1293" s="103"/>
      <c r="O1293" s="103"/>
      <c r="P1293" s="103"/>
      <c r="Q1293" s="103"/>
      <c r="R1293" s="103"/>
      <c r="S1293" s="103"/>
      <c r="T1293" s="103"/>
      <c r="U1293" s="103"/>
      <c r="V1293" s="103"/>
      <c r="W1293" s="103"/>
      <c r="X1293" s="103"/>
      <c r="Y1293" s="103"/>
      <c r="Z1293" s="103"/>
      <c r="AA1293" s="103"/>
      <c r="AB1293" s="103"/>
      <c r="AC1293" s="103"/>
      <c r="AD1293" s="103"/>
      <c r="AE1293" s="103"/>
      <c r="AF1293" s="103"/>
      <c r="AG1293" s="103">
        <v>10</v>
      </c>
      <c r="AH1293" s="103"/>
      <c r="AI1293" s="103"/>
      <c r="AJ1293" s="103"/>
      <c r="AK1293" s="103"/>
      <c r="AL1293" s="103"/>
      <c r="AM1293" s="103"/>
      <c r="AN1293" s="103"/>
      <c r="AO1293" s="103"/>
      <c r="AP1293" s="103"/>
      <c r="AQ1293" s="103"/>
      <c r="AR1293" s="103"/>
      <c r="AS1293" s="103">
        <v>10</v>
      </c>
      <c r="AT1293" s="103"/>
      <c r="AU1293" s="103"/>
      <c r="AV1293" s="103"/>
      <c r="AW1293" s="104" t="str">
        <f>HYPERLINK("http://www.openstreetmap.org/?mlat=35.7803&amp;mlon=43.281&amp;zoom=12#map=12/35.7803/43.281","Maplink1")</f>
        <v>Maplink1</v>
      </c>
      <c r="AX1293" s="104" t="str">
        <f>HYPERLINK("https://www.google.iq/maps/search/+35.7803,43.281/@35.7803,43.281,14z?hl=en","Maplink2")</f>
        <v>Maplink2</v>
      </c>
      <c r="AY1293" s="104" t="str">
        <f>HYPERLINK("http://www.bing.com/maps/?lvl=14&amp;sty=h&amp;cp=35.7803~43.281&amp;sp=point.35.7803_43.281","Maplink3")</f>
        <v>Maplink3</v>
      </c>
    </row>
    <row r="1294" spans="1:51" x14ac:dyDescent="0.2">
      <c r="A1294" s="102">
        <v>33260</v>
      </c>
      <c r="B1294" s="103" t="s">
        <v>35</v>
      </c>
      <c r="C1294" s="103" t="s">
        <v>102</v>
      </c>
      <c r="D1294" s="103" t="s">
        <v>2449</v>
      </c>
      <c r="E1294" s="103" t="s">
        <v>2450</v>
      </c>
      <c r="F1294" s="103">
        <v>36.361843</v>
      </c>
      <c r="G1294" s="103">
        <v>43.088819051000002</v>
      </c>
      <c r="H1294" s="102">
        <v>665</v>
      </c>
      <c r="I1294" s="102">
        <v>3990</v>
      </c>
      <c r="J1294" s="103"/>
      <c r="K1294" s="103"/>
      <c r="L1294" s="103"/>
      <c r="M1294" s="103">
        <v>665</v>
      </c>
      <c r="N1294" s="103"/>
      <c r="O1294" s="103"/>
      <c r="P1294" s="103"/>
      <c r="Q1294" s="103"/>
      <c r="R1294" s="103"/>
      <c r="S1294" s="103"/>
      <c r="T1294" s="103"/>
      <c r="U1294" s="103"/>
      <c r="V1294" s="103"/>
      <c r="W1294" s="103"/>
      <c r="X1294" s="103"/>
      <c r="Y1294" s="103"/>
      <c r="Z1294" s="103"/>
      <c r="AA1294" s="103"/>
      <c r="AB1294" s="103"/>
      <c r="AC1294" s="103"/>
      <c r="AD1294" s="103"/>
      <c r="AE1294" s="103"/>
      <c r="AF1294" s="103"/>
      <c r="AG1294" s="103">
        <v>665</v>
      </c>
      <c r="AH1294" s="103"/>
      <c r="AI1294" s="103"/>
      <c r="AJ1294" s="103"/>
      <c r="AK1294" s="103"/>
      <c r="AL1294" s="103"/>
      <c r="AM1294" s="103"/>
      <c r="AN1294" s="103"/>
      <c r="AO1294" s="103"/>
      <c r="AP1294" s="103"/>
      <c r="AQ1294" s="103"/>
      <c r="AR1294" s="103"/>
      <c r="AS1294" s="103">
        <v>665</v>
      </c>
      <c r="AT1294" s="103"/>
      <c r="AU1294" s="103"/>
      <c r="AV1294" s="103"/>
      <c r="AW1294" s="104" t="str">
        <f>HYPERLINK("http://www.openstreetmap.org/?mlat=36.3618&amp;mlon=43.0888&amp;zoom=12#map=12/36.3618/43.0888","Maplink1")</f>
        <v>Maplink1</v>
      </c>
      <c r="AX1294" s="104" t="str">
        <f>HYPERLINK("https://www.google.iq/maps/search/+36.3618,43.0888/@36.3618,43.0888,14z?hl=en","Maplink2")</f>
        <v>Maplink2</v>
      </c>
      <c r="AY1294" s="104" t="str">
        <f>HYPERLINK("http://www.bing.com/maps/?lvl=14&amp;sty=h&amp;cp=36.3618~43.0888&amp;sp=point.36.3618_43.0888","Maplink3")</f>
        <v>Maplink3</v>
      </c>
    </row>
    <row r="1295" spans="1:51" x14ac:dyDescent="0.2">
      <c r="A1295" s="102">
        <v>17825</v>
      </c>
      <c r="B1295" s="103" t="s">
        <v>35</v>
      </c>
      <c r="C1295" s="103" t="s">
        <v>102</v>
      </c>
      <c r="D1295" s="103" t="s">
        <v>2451</v>
      </c>
      <c r="E1295" s="103" t="s">
        <v>2452</v>
      </c>
      <c r="F1295" s="103">
        <v>36.193373999999999</v>
      </c>
      <c r="G1295" s="103">
        <v>42.952928</v>
      </c>
      <c r="H1295" s="102">
        <v>50</v>
      </c>
      <c r="I1295" s="102">
        <v>300</v>
      </c>
      <c r="J1295" s="103"/>
      <c r="K1295" s="103"/>
      <c r="L1295" s="103"/>
      <c r="M1295" s="103">
        <v>40</v>
      </c>
      <c r="N1295" s="103">
        <v>10</v>
      </c>
      <c r="O1295" s="103"/>
      <c r="P1295" s="103"/>
      <c r="Q1295" s="103"/>
      <c r="R1295" s="103"/>
      <c r="S1295" s="103"/>
      <c r="T1295" s="103"/>
      <c r="U1295" s="103"/>
      <c r="V1295" s="103"/>
      <c r="W1295" s="103"/>
      <c r="X1295" s="103"/>
      <c r="Y1295" s="103"/>
      <c r="Z1295" s="103"/>
      <c r="AA1295" s="103"/>
      <c r="AB1295" s="103"/>
      <c r="AC1295" s="103"/>
      <c r="AD1295" s="103"/>
      <c r="AE1295" s="103"/>
      <c r="AF1295" s="103"/>
      <c r="AG1295" s="103">
        <v>50</v>
      </c>
      <c r="AH1295" s="103"/>
      <c r="AI1295" s="103"/>
      <c r="AJ1295" s="103"/>
      <c r="AK1295" s="103"/>
      <c r="AL1295" s="103"/>
      <c r="AM1295" s="103"/>
      <c r="AN1295" s="103"/>
      <c r="AO1295" s="103"/>
      <c r="AP1295" s="103"/>
      <c r="AQ1295" s="103"/>
      <c r="AR1295" s="103"/>
      <c r="AS1295" s="103">
        <v>50</v>
      </c>
      <c r="AT1295" s="103"/>
      <c r="AU1295" s="103"/>
      <c r="AV1295" s="103"/>
      <c r="AW1295" s="104" t="str">
        <f>HYPERLINK("http://www.openstreetmap.org/?mlat=36.1934&amp;mlon=42.9529&amp;zoom=12#map=12/36.1934/42.9529","Maplink1")</f>
        <v>Maplink1</v>
      </c>
      <c r="AX1295" s="104" t="str">
        <f>HYPERLINK("https://www.google.iq/maps/search/+36.1934,42.9529/@36.1934,42.9529,14z?hl=en","Maplink2")</f>
        <v>Maplink2</v>
      </c>
      <c r="AY1295" s="104" t="str">
        <f>HYPERLINK("http://www.bing.com/maps/?lvl=14&amp;sty=h&amp;cp=36.1934~42.9529&amp;sp=point.36.1934_42.9529","Maplink3")</f>
        <v>Maplink3</v>
      </c>
    </row>
    <row r="1296" spans="1:51" x14ac:dyDescent="0.2">
      <c r="A1296" s="102">
        <v>33709</v>
      </c>
      <c r="B1296" s="103" t="s">
        <v>35</v>
      </c>
      <c r="C1296" s="103" t="s">
        <v>102</v>
      </c>
      <c r="D1296" s="103" t="s">
        <v>2453</v>
      </c>
      <c r="E1296" s="103" t="s">
        <v>2454</v>
      </c>
      <c r="F1296" s="103">
        <v>36.367624999999997</v>
      </c>
      <c r="G1296" s="103">
        <v>42.977989693799998</v>
      </c>
      <c r="H1296" s="102">
        <v>84</v>
      </c>
      <c r="I1296" s="102">
        <v>504</v>
      </c>
      <c r="J1296" s="103"/>
      <c r="K1296" s="103"/>
      <c r="L1296" s="103"/>
      <c r="M1296" s="103">
        <v>71</v>
      </c>
      <c r="N1296" s="103">
        <v>13</v>
      </c>
      <c r="O1296" s="103"/>
      <c r="P1296" s="103"/>
      <c r="Q1296" s="103"/>
      <c r="R1296" s="103"/>
      <c r="S1296" s="103"/>
      <c r="T1296" s="103"/>
      <c r="U1296" s="103"/>
      <c r="V1296" s="103"/>
      <c r="W1296" s="103"/>
      <c r="X1296" s="103"/>
      <c r="Y1296" s="103"/>
      <c r="Z1296" s="103"/>
      <c r="AA1296" s="103"/>
      <c r="AB1296" s="103"/>
      <c r="AC1296" s="103"/>
      <c r="AD1296" s="103"/>
      <c r="AE1296" s="103"/>
      <c r="AF1296" s="103"/>
      <c r="AG1296" s="103">
        <v>84</v>
      </c>
      <c r="AH1296" s="103"/>
      <c r="AI1296" s="103"/>
      <c r="AJ1296" s="103"/>
      <c r="AK1296" s="103"/>
      <c r="AL1296" s="103"/>
      <c r="AM1296" s="103"/>
      <c r="AN1296" s="103"/>
      <c r="AO1296" s="103"/>
      <c r="AP1296" s="103"/>
      <c r="AQ1296" s="103"/>
      <c r="AR1296" s="103"/>
      <c r="AS1296" s="103">
        <v>84</v>
      </c>
      <c r="AT1296" s="103"/>
      <c r="AU1296" s="103"/>
      <c r="AV1296" s="103"/>
      <c r="AW1296" s="104" t="str">
        <f>HYPERLINK("http://www.openstreetmap.org/?mlat=36.3676&amp;mlon=42.978&amp;zoom=12#map=12/36.3676/42.978","Maplink1")</f>
        <v>Maplink1</v>
      </c>
      <c r="AX1296" s="104" t="str">
        <f>HYPERLINK("https://www.google.iq/maps/search/+36.3676,42.978/@36.3676,42.978,14z?hl=en","Maplink2")</f>
        <v>Maplink2</v>
      </c>
      <c r="AY1296" s="104" t="str">
        <f>HYPERLINK("http://www.bing.com/maps/?lvl=14&amp;sty=h&amp;cp=36.3676~42.978&amp;sp=point.36.3676_42.978","Maplink3")</f>
        <v>Maplink3</v>
      </c>
    </row>
    <row r="1297" spans="1:51" x14ac:dyDescent="0.2">
      <c r="A1297" s="102">
        <v>34102</v>
      </c>
      <c r="B1297" s="103" t="s">
        <v>35</v>
      </c>
      <c r="C1297" s="103" t="s">
        <v>102</v>
      </c>
      <c r="D1297" s="103" t="s">
        <v>3999</v>
      </c>
      <c r="E1297" s="103" t="s">
        <v>4000</v>
      </c>
      <c r="F1297" s="103">
        <v>35.771545000000003</v>
      </c>
      <c r="G1297" s="103">
        <v>43.182397999999999</v>
      </c>
      <c r="H1297" s="102">
        <v>10</v>
      </c>
      <c r="I1297" s="102">
        <v>60</v>
      </c>
      <c r="J1297" s="103"/>
      <c r="K1297" s="103"/>
      <c r="L1297" s="103"/>
      <c r="M1297" s="103">
        <v>10</v>
      </c>
      <c r="N1297" s="103"/>
      <c r="O1297" s="103"/>
      <c r="P1297" s="103"/>
      <c r="Q1297" s="103"/>
      <c r="R1297" s="103"/>
      <c r="S1297" s="103"/>
      <c r="T1297" s="103"/>
      <c r="U1297" s="103"/>
      <c r="V1297" s="103"/>
      <c r="W1297" s="103"/>
      <c r="X1297" s="103"/>
      <c r="Y1297" s="103"/>
      <c r="Z1297" s="103"/>
      <c r="AA1297" s="103">
        <v>10</v>
      </c>
      <c r="AB1297" s="103"/>
      <c r="AC1297" s="103"/>
      <c r="AD1297" s="103"/>
      <c r="AE1297" s="103"/>
      <c r="AF1297" s="103"/>
      <c r="AG1297" s="103"/>
      <c r="AH1297" s="103"/>
      <c r="AI1297" s="103"/>
      <c r="AJ1297" s="103"/>
      <c r="AK1297" s="103"/>
      <c r="AL1297" s="103"/>
      <c r="AM1297" s="103"/>
      <c r="AN1297" s="103"/>
      <c r="AO1297" s="103"/>
      <c r="AP1297" s="103"/>
      <c r="AQ1297" s="103"/>
      <c r="AR1297" s="103"/>
      <c r="AS1297" s="103">
        <v>10</v>
      </c>
      <c r="AT1297" s="103"/>
      <c r="AU1297" s="103"/>
      <c r="AV1297" s="103"/>
      <c r="AW1297" s="104" t="str">
        <f>HYPERLINK("http://www.openstreetmap.org/?mlat=35.7715&amp;mlon=43.1824&amp;zoom=12#map=12/35.7715/43.1824","Maplink1")</f>
        <v>Maplink1</v>
      </c>
      <c r="AX1297" s="104" t="str">
        <f>HYPERLINK("https://www.google.iq/maps/search/+35.7715,43.1824/@35.7715,43.1824,14z?hl=en","Maplink2")</f>
        <v>Maplink2</v>
      </c>
      <c r="AY1297" s="104" t="str">
        <f>HYPERLINK("http://www.bing.com/maps/?lvl=14&amp;sty=h&amp;cp=35.7715~43.1824&amp;sp=point.35.7715_43.1824","Maplink3")</f>
        <v>Maplink3</v>
      </c>
    </row>
    <row r="1298" spans="1:51" x14ac:dyDescent="0.2">
      <c r="A1298" s="102">
        <v>33700</v>
      </c>
      <c r="B1298" s="103" t="s">
        <v>35</v>
      </c>
      <c r="C1298" s="103" t="s">
        <v>102</v>
      </c>
      <c r="D1298" s="103" t="s">
        <v>2742</v>
      </c>
      <c r="E1298" s="103" t="s">
        <v>2743</v>
      </c>
      <c r="F1298" s="103">
        <v>35.715187</v>
      </c>
      <c r="G1298" s="103">
        <v>43.343679858400002</v>
      </c>
      <c r="H1298" s="102">
        <v>180</v>
      </c>
      <c r="I1298" s="102">
        <v>1080</v>
      </c>
      <c r="J1298" s="103"/>
      <c r="K1298" s="103"/>
      <c r="L1298" s="103"/>
      <c r="M1298" s="103">
        <v>168</v>
      </c>
      <c r="N1298" s="103">
        <v>12</v>
      </c>
      <c r="O1298" s="103"/>
      <c r="P1298" s="103"/>
      <c r="Q1298" s="103"/>
      <c r="R1298" s="103"/>
      <c r="S1298" s="103"/>
      <c r="T1298" s="103"/>
      <c r="U1298" s="103"/>
      <c r="V1298" s="103"/>
      <c r="W1298" s="103"/>
      <c r="X1298" s="103"/>
      <c r="Y1298" s="103"/>
      <c r="Z1298" s="103"/>
      <c r="AA1298" s="103">
        <v>160</v>
      </c>
      <c r="AB1298" s="103"/>
      <c r="AC1298" s="103">
        <v>20</v>
      </c>
      <c r="AD1298" s="103"/>
      <c r="AE1298" s="103"/>
      <c r="AF1298" s="103"/>
      <c r="AG1298" s="103"/>
      <c r="AH1298" s="103"/>
      <c r="AI1298" s="103"/>
      <c r="AJ1298" s="103"/>
      <c r="AK1298" s="103"/>
      <c r="AL1298" s="103"/>
      <c r="AM1298" s="103"/>
      <c r="AN1298" s="103"/>
      <c r="AO1298" s="103"/>
      <c r="AP1298" s="103"/>
      <c r="AQ1298" s="103"/>
      <c r="AR1298" s="103">
        <v>180</v>
      </c>
      <c r="AS1298" s="103"/>
      <c r="AT1298" s="103"/>
      <c r="AU1298" s="103"/>
      <c r="AV1298" s="103"/>
      <c r="AW1298" s="104" t="str">
        <f>HYPERLINK("http://www.openstreetmap.org/?mlat=35.7152&amp;mlon=43.3437&amp;zoom=12#map=12/35.7152/43.3437","Maplink1")</f>
        <v>Maplink1</v>
      </c>
      <c r="AX1298" s="104" t="str">
        <f>HYPERLINK("https://www.google.iq/maps/search/+35.7152,43.3437/@35.7152,43.3437,14z?hl=en","Maplink2")</f>
        <v>Maplink2</v>
      </c>
      <c r="AY1298" s="104" t="str">
        <f>HYPERLINK("http://www.bing.com/maps/?lvl=14&amp;sty=h&amp;cp=35.7152~43.3437&amp;sp=point.35.7152_43.3437","Maplink3")</f>
        <v>Maplink3</v>
      </c>
    </row>
    <row r="1299" spans="1:51" x14ac:dyDescent="0.2">
      <c r="A1299" s="102">
        <v>18370</v>
      </c>
      <c r="B1299" s="103" t="s">
        <v>35</v>
      </c>
      <c r="C1299" s="103" t="s">
        <v>102</v>
      </c>
      <c r="D1299" s="103" t="s">
        <v>251</v>
      </c>
      <c r="E1299" s="103" t="s">
        <v>2942</v>
      </c>
      <c r="F1299" s="103">
        <v>36.355513503499999</v>
      </c>
      <c r="G1299" s="103">
        <v>43.191957267200003</v>
      </c>
      <c r="H1299" s="102">
        <v>1118</v>
      </c>
      <c r="I1299" s="102">
        <v>6708</v>
      </c>
      <c r="J1299" s="103"/>
      <c r="K1299" s="103"/>
      <c r="L1299" s="103"/>
      <c r="M1299" s="103">
        <v>1118</v>
      </c>
      <c r="N1299" s="103"/>
      <c r="O1299" s="103"/>
      <c r="P1299" s="103"/>
      <c r="Q1299" s="103"/>
      <c r="R1299" s="103"/>
      <c r="S1299" s="103"/>
      <c r="T1299" s="103"/>
      <c r="U1299" s="103"/>
      <c r="V1299" s="103"/>
      <c r="W1299" s="103">
        <v>10</v>
      </c>
      <c r="X1299" s="103"/>
      <c r="Y1299" s="103">
        <v>26</v>
      </c>
      <c r="Z1299" s="103"/>
      <c r="AA1299" s="103">
        <v>66</v>
      </c>
      <c r="AB1299" s="103">
        <v>8</v>
      </c>
      <c r="AC1299" s="103">
        <v>11</v>
      </c>
      <c r="AD1299" s="103"/>
      <c r="AE1299" s="103"/>
      <c r="AF1299" s="103"/>
      <c r="AG1299" s="103">
        <v>997</v>
      </c>
      <c r="AH1299" s="103"/>
      <c r="AI1299" s="103"/>
      <c r="AJ1299" s="103"/>
      <c r="AK1299" s="103"/>
      <c r="AL1299" s="103"/>
      <c r="AM1299" s="103"/>
      <c r="AN1299" s="103">
        <v>121</v>
      </c>
      <c r="AO1299" s="103"/>
      <c r="AP1299" s="103"/>
      <c r="AQ1299" s="103"/>
      <c r="AR1299" s="103"/>
      <c r="AS1299" s="103">
        <v>997</v>
      </c>
      <c r="AT1299" s="103"/>
      <c r="AU1299" s="103"/>
      <c r="AV1299" s="103"/>
      <c r="AW1299" s="104" t="str">
        <f>HYPERLINK("http://www.openstreetmap.org/?mlat=36.3555&amp;mlon=43.192&amp;zoom=12#map=12/36.3555/43.192","Maplink1")</f>
        <v>Maplink1</v>
      </c>
      <c r="AX1299" s="104" t="str">
        <f>HYPERLINK("https://www.google.iq/maps/search/+36.3555,43.192/@36.3555,43.192,14z?hl=en","Maplink2")</f>
        <v>Maplink2</v>
      </c>
      <c r="AY1299" s="104" t="str">
        <f>HYPERLINK("http://www.bing.com/maps/?lvl=14&amp;sty=h&amp;cp=36.3555~43.192&amp;sp=point.36.3555_43.192","Maplink3")</f>
        <v>Maplink3</v>
      </c>
    </row>
    <row r="1300" spans="1:51" x14ac:dyDescent="0.2">
      <c r="A1300" s="102">
        <v>17452</v>
      </c>
      <c r="B1300" s="103" t="s">
        <v>35</v>
      </c>
      <c r="C1300" s="103" t="s">
        <v>102</v>
      </c>
      <c r="D1300" s="103" t="s">
        <v>2932</v>
      </c>
      <c r="E1300" s="103" t="s">
        <v>2933</v>
      </c>
      <c r="F1300" s="103">
        <v>36.238323343600001</v>
      </c>
      <c r="G1300" s="103">
        <v>42.936399780899997</v>
      </c>
      <c r="H1300" s="102">
        <v>33</v>
      </c>
      <c r="I1300" s="102">
        <v>198</v>
      </c>
      <c r="J1300" s="103"/>
      <c r="K1300" s="103"/>
      <c r="L1300" s="103"/>
      <c r="M1300" s="103">
        <v>33</v>
      </c>
      <c r="N1300" s="103"/>
      <c r="O1300" s="103"/>
      <c r="P1300" s="103"/>
      <c r="Q1300" s="103"/>
      <c r="R1300" s="103"/>
      <c r="S1300" s="103"/>
      <c r="T1300" s="103"/>
      <c r="U1300" s="103"/>
      <c r="V1300" s="103"/>
      <c r="W1300" s="103"/>
      <c r="X1300" s="103"/>
      <c r="Y1300" s="103"/>
      <c r="Z1300" s="103"/>
      <c r="AA1300" s="103"/>
      <c r="AB1300" s="103"/>
      <c r="AC1300" s="103"/>
      <c r="AD1300" s="103"/>
      <c r="AE1300" s="103"/>
      <c r="AF1300" s="103"/>
      <c r="AG1300" s="103">
        <v>33</v>
      </c>
      <c r="AH1300" s="103"/>
      <c r="AI1300" s="103"/>
      <c r="AJ1300" s="103"/>
      <c r="AK1300" s="103"/>
      <c r="AL1300" s="103"/>
      <c r="AM1300" s="103"/>
      <c r="AN1300" s="103"/>
      <c r="AO1300" s="103"/>
      <c r="AP1300" s="103"/>
      <c r="AQ1300" s="103"/>
      <c r="AR1300" s="103"/>
      <c r="AS1300" s="103">
        <v>33</v>
      </c>
      <c r="AT1300" s="103"/>
      <c r="AU1300" s="103"/>
      <c r="AV1300" s="103"/>
      <c r="AW1300" s="104" t="str">
        <f>HYPERLINK("http://www.openstreetmap.org/?mlat=36.2383&amp;mlon=42.9364&amp;zoom=12#map=12/36.2383/42.9364","Maplink1")</f>
        <v>Maplink1</v>
      </c>
      <c r="AX1300" s="104" t="str">
        <f>HYPERLINK("https://www.google.iq/maps/search/+36.2383,42.9364/@36.2383,42.9364,14z?hl=en","Maplink2")</f>
        <v>Maplink2</v>
      </c>
      <c r="AY1300" s="104" t="str">
        <f>HYPERLINK("http://www.bing.com/maps/?lvl=14&amp;sty=h&amp;cp=36.2383~42.9364&amp;sp=point.36.2383_42.9364","Maplink3")</f>
        <v>Maplink3</v>
      </c>
    </row>
    <row r="1301" spans="1:51" x14ac:dyDescent="0.2">
      <c r="A1301" s="102">
        <v>33521</v>
      </c>
      <c r="B1301" s="103" t="s">
        <v>35</v>
      </c>
      <c r="C1301" s="103" t="s">
        <v>102</v>
      </c>
      <c r="D1301" s="103" t="s">
        <v>2934</v>
      </c>
      <c r="E1301" s="103" t="s">
        <v>2935</v>
      </c>
      <c r="F1301" s="103">
        <v>36.161504000000001</v>
      </c>
      <c r="G1301" s="103">
        <v>42.855097000000001</v>
      </c>
      <c r="H1301" s="102">
        <v>20</v>
      </c>
      <c r="I1301" s="102">
        <v>120</v>
      </c>
      <c r="J1301" s="103"/>
      <c r="K1301" s="103"/>
      <c r="L1301" s="103"/>
      <c r="M1301" s="103">
        <v>20</v>
      </c>
      <c r="N1301" s="103"/>
      <c r="O1301" s="103"/>
      <c r="P1301" s="103"/>
      <c r="Q1301" s="103"/>
      <c r="R1301" s="103"/>
      <c r="S1301" s="103"/>
      <c r="T1301" s="103"/>
      <c r="U1301" s="103"/>
      <c r="V1301" s="103"/>
      <c r="W1301" s="103"/>
      <c r="X1301" s="103"/>
      <c r="Y1301" s="103"/>
      <c r="Z1301" s="103"/>
      <c r="AA1301" s="103"/>
      <c r="AB1301" s="103"/>
      <c r="AC1301" s="103"/>
      <c r="AD1301" s="103"/>
      <c r="AE1301" s="103"/>
      <c r="AF1301" s="103"/>
      <c r="AG1301" s="103">
        <v>20</v>
      </c>
      <c r="AH1301" s="103"/>
      <c r="AI1301" s="103"/>
      <c r="AJ1301" s="103"/>
      <c r="AK1301" s="103"/>
      <c r="AL1301" s="103"/>
      <c r="AM1301" s="103"/>
      <c r="AN1301" s="103"/>
      <c r="AO1301" s="103"/>
      <c r="AP1301" s="103"/>
      <c r="AQ1301" s="103"/>
      <c r="AR1301" s="103"/>
      <c r="AS1301" s="103">
        <v>20</v>
      </c>
      <c r="AT1301" s="103"/>
      <c r="AU1301" s="103"/>
      <c r="AV1301" s="103"/>
      <c r="AW1301" s="104" t="str">
        <f>HYPERLINK("http://www.openstreetmap.org/?mlat=36.1615&amp;mlon=42.8551&amp;zoom=12#map=12/36.1615/42.8551","Maplink1")</f>
        <v>Maplink1</v>
      </c>
      <c r="AX1301" s="104" t="str">
        <f>HYPERLINK("https://www.google.iq/maps/search/+36.1615,42.8551/@36.1615,42.8551,14z?hl=en","Maplink2")</f>
        <v>Maplink2</v>
      </c>
      <c r="AY1301" s="104" t="str">
        <f>HYPERLINK("http://www.bing.com/maps/?lvl=14&amp;sty=h&amp;cp=36.1615~42.8551&amp;sp=point.36.1615_42.8551","Maplink3")</f>
        <v>Maplink3</v>
      </c>
    </row>
    <row r="1302" spans="1:51" x14ac:dyDescent="0.2">
      <c r="A1302" s="102">
        <v>33711</v>
      </c>
      <c r="B1302" s="103" t="s">
        <v>35</v>
      </c>
      <c r="C1302" s="103" t="s">
        <v>102</v>
      </c>
      <c r="D1302" s="103" t="s">
        <v>2936</v>
      </c>
      <c r="E1302" s="103" t="s">
        <v>2937</v>
      </c>
      <c r="F1302" s="103">
        <v>36.350431999999998</v>
      </c>
      <c r="G1302" s="103">
        <v>42.846058999999997</v>
      </c>
      <c r="H1302" s="102">
        <v>60</v>
      </c>
      <c r="I1302" s="102">
        <v>360</v>
      </c>
      <c r="J1302" s="103"/>
      <c r="K1302" s="103"/>
      <c r="L1302" s="103"/>
      <c r="M1302" s="103">
        <v>50</v>
      </c>
      <c r="N1302" s="103">
        <v>10</v>
      </c>
      <c r="O1302" s="103"/>
      <c r="P1302" s="103"/>
      <c r="Q1302" s="103"/>
      <c r="R1302" s="103"/>
      <c r="S1302" s="103"/>
      <c r="T1302" s="103"/>
      <c r="U1302" s="103"/>
      <c r="V1302" s="103"/>
      <c r="W1302" s="103"/>
      <c r="X1302" s="103"/>
      <c r="Y1302" s="103"/>
      <c r="Z1302" s="103"/>
      <c r="AA1302" s="103"/>
      <c r="AB1302" s="103"/>
      <c r="AC1302" s="103"/>
      <c r="AD1302" s="103"/>
      <c r="AE1302" s="103"/>
      <c r="AF1302" s="103"/>
      <c r="AG1302" s="103">
        <v>60</v>
      </c>
      <c r="AH1302" s="103"/>
      <c r="AI1302" s="103"/>
      <c r="AJ1302" s="103"/>
      <c r="AK1302" s="103"/>
      <c r="AL1302" s="103"/>
      <c r="AM1302" s="103"/>
      <c r="AN1302" s="103"/>
      <c r="AO1302" s="103"/>
      <c r="AP1302" s="103"/>
      <c r="AQ1302" s="103"/>
      <c r="AR1302" s="103"/>
      <c r="AS1302" s="103">
        <v>60</v>
      </c>
      <c r="AT1302" s="103"/>
      <c r="AU1302" s="103"/>
      <c r="AV1302" s="103"/>
      <c r="AW1302" s="104" t="str">
        <f>HYPERLINK("http://www.openstreetmap.org/?mlat=36.3504&amp;mlon=42.8461&amp;zoom=12#map=12/36.3504/42.8461","Maplink1")</f>
        <v>Maplink1</v>
      </c>
      <c r="AX1302" s="104" t="str">
        <f>HYPERLINK("https://www.google.iq/maps/search/+36.3504,42.8461/@36.3504,42.8461,14z?hl=en","Maplink2")</f>
        <v>Maplink2</v>
      </c>
      <c r="AY1302" s="104" t="str">
        <f>HYPERLINK("http://www.bing.com/maps/?lvl=14&amp;sty=h&amp;cp=36.3504~42.8461&amp;sp=point.36.3504_42.8461","Maplink3")</f>
        <v>Maplink3</v>
      </c>
    </row>
    <row r="1303" spans="1:51" x14ac:dyDescent="0.2">
      <c r="A1303" s="102">
        <v>22928</v>
      </c>
      <c r="B1303" s="103" t="s">
        <v>35</v>
      </c>
      <c r="C1303" s="103" t="s">
        <v>102</v>
      </c>
      <c r="D1303" s="103" t="s">
        <v>2938</v>
      </c>
      <c r="E1303" s="103" t="s">
        <v>2939</v>
      </c>
      <c r="F1303" s="103">
        <v>36.246079000000002</v>
      </c>
      <c r="G1303" s="103">
        <v>42.653415000000003</v>
      </c>
      <c r="H1303" s="102">
        <v>7</v>
      </c>
      <c r="I1303" s="102">
        <v>42</v>
      </c>
      <c r="J1303" s="103"/>
      <c r="K1303" s="103"/>
      <c r="L1303" s="103"/>
      <c r="M1303" s="103">
        <v>2</v>
      </c>
      <c r="N1303" s="103">
        <v>5</v>
      </c>
      <c r="O1303" s="103"/>
      <c r="P1303" s="103"/>
      <c r="Q1303" s="103"/>
      <c r="R1303" s="103"/>
      <c r="S1303" s="103"/>
      <c r="T1303" s="103"/>
      <c r="U1303" s="103"/>
      <c r="V1303" s="103"/>
      <c r="W1303" s="103"/>
      <c r="X1303" s="103"/>
      <c r="Y1303" s="103"/>
      <c r="Z1303" s="103"/>
      <c r="AA1303" s="103"/>
      <c r="AB1303" s="103"/>
      <c r="AC1303" s="103"/>
      <c r="AD1303" s="103"/>
      <c r="AE1303" s="103"/>
      <c r="AF1303" s="103"/>
      <c r="AG1303" s="103">
        <v>7</v>
      </c>
      <c r="AH1303" s="103"/>
      <c r="AI1303" s="103"/>
      <c r="AJ1303" s="103"/>
      <c r="AK1303" s="103"/>
      <c r="AL1303" s="103"/>
      <c r="AM1303" s="103"/>
      <c r="AN1303" s="103"/>
      <c r="AO1303" s="103"/>
      <c r="AP1303" s="103"/>
      <c r="AQ1303" s="103"/>
      <c r="AR1303" s="103"/>
      <c r="AS1303" s="103">
        <v>7</v>
      </c>
      <c r="AT1303" s="103"/>
      <c r="AU1303" s="103"/>
      <c r="AV1303" s="103"/>
      <c r="AW1303" s="104" t="str">
        <f>HYPERLINK("http://www.openstreetmap.org/?mlat=36.2461&amp;mlon=42.6534&amp;zoom=12#map=12/36.2461/42.6534","Maplink1")</f>
        <v>Maplink1</v>
      </c>
      <c r="AX1303" s="104" t="str">
        <f>HYPERLINK("https://www.google.iq/maps/search/+36.2461,42.6534/@36.2461,42.6534,14z?hl=en","Maplink2")</f>
        <v>Maplink2</v>
      </c>
      <c r="AY1303" s="104" t="str">
        <f>HYPERLINK("http://www.bing.com/maps/?lvl=14&amp;sty=h&amp;cp=36.2461~42.6534&amp;sp=point.36.2461_42.6534","Maplink3")</f>
        <v>Maplink3</v>
      </c>
    </row>
    <row r="1304" spans="1:51" x14ac:dyDescent="0.2">
      <c r="A1304" s="102">
        <v>33775</v>
      </c>
      <c r="B1304" s="103" t="s">
        <v>35</v>
      </c>
      <c r="C1304" s="103" t="s">
        <v>102</v>
      </c>
      <c r="D1304" s="103" t="s">
        <v>2940</v>
      </c>
      <c r="E1304" s="103" t="s">
        <v>2941</v>
      </c>
      <c r="F1304" s="103">
        <v>35.994053999999998</v>
      </c>
      <c r="G1304" s="103">
        <v>43.162567000000003</v>
      </c>
      <c r="H1304" s="102">
        <v>10</v>
      </c>
      <c r="I1304" s="102">
        <v>60</v>
      </c>
      <c r="J1304" s="103"/>
      <c r="K1304" s="103"/>
      <c r="L1304" s="103"/>
      <c r="M1304" s="103">
        <v>10</v>
      </c>
      <c r="N1304" s="103"/>
      <c r="O1304" s="103"/>
      <c r="P1304" s="103"/>
      <c r="Q1304" s="103"/>
      <c r="R1304" s="103"/>
      <c r="S1304" s="103"/>
      <c r="T1304" s="103"/>
      <c r="U1304" s="103"/>
      <c r="V1304" s="103"/>
      <c r="W1304" s="103"/>
      <c r="X1304" s="103"/>
      <c r="Y1304" s="103"/>
      <c r="Z1304" s="103"/>
      <c r="AA1304" s="103"/>
      <c r="AB1304" s="103"/>
      <c r="AC1304" s="103"/>
      <c r="AD1304" s="103"/>
      <c r="AE1304" s="103"/>
      <c r="AF1304" s="103"/>
      <c r="AG1304" s="103">
        <v>10</v>
      </c>
      <c r="AH1304" s="103"/>
      <c r="AI1304" s="103"/>
      <c r="AJ1304" s="103"/>
      <c r="AK1304" s="103"/>
      <c r="AL1304" s="103"/>
      <c r="AM1304" s="103"/>
      <c r="AN1304" s="103"/>
      <c r="AO1304" s="103"/>
      <c r="AP1304" s="103"/>
      <c r="AQ1304" s="103"/>
      <c r="AR1304" s="103"/>
      <c r="AS1304" s="103">
        <v>10</v>
      </c>
      <c r="AT1304" s="103"/>
      <c r="AU1304" s="103"/>
      <c r="AV1304" s="103"/>
      <c r="AW1304" s="104" t="str">
        <f>HYPERLINK("http://www.openstreetmap.org/?mlat=35.9941&amp;mlon=43.1626&amp;zoom=12#map=12/35.9941/43.1626","Maplink1")</f>
        <v>Maplink1</v>
      </c>
      <c r="AX1304" s="104" t="str">
        <f>HYPERLINK("https://www.google.iq/maps/search/+35.9941,43.1626/@35.9941,43.1626,14z?hl=en","Maplink2")</f>
        <v>Maplink2</v>
      </c>
      <c r="AY1304" s="104" t="str">
        <f>HYPERLINK("http://www.bing.com/maps/?lvl=14&amp;sty=h&amp;cp=35.9941~43.1626&amp;sp=point.35.9941_43.1626","Maplink3")</f>
        <v>Maplink3</v>
      </c>
    </row>
    <row r="1305" spans="1:51" x14ac:dyDescent="0.2">
      <c r="A1305" s="102">
        <v>33489</v>
      </c>
      <c r="B1305" s="103" t="s">
        <v>35</v>
      </c>
      <c r="C1305" s="103" t="s">
        <v>102</v>
      </c>
      <c r="D1305" s="103" t="s">
        <v>2708</v>
      </c>
      <c r="E1305" s="103" t="s">
        <v>2709</v>
      </c>
      <c r="F1305" s="103">
        <v>35.693539999999999</v>
      </c>
      <c r="G1305" s="103">
        <v>43.259668298800001</v>
      </c>
      <c r="H1305" s="102">
        <v>85</v>
      </c>
      <c r="I1305" s="102">
        <v>510</v>
      </c>
      <c r="J1305" s="103"/>
      <c r="K1305" s="103"/>
      <c r="L1305" s="103"/>
      <c r="M1305" s="103">
        <v>85</v>
      </c>
      <c r="N1305" s="103"/>
      <c r="O1305" s="103"/>
      <c r="P1305" s="103"/>
      <c r="Q1305" s="103"/>
      <c r="R1305" s="103"/>
      <c r="S1305" s="103"/>
      <c r="T1305" s="103"/>
      <c r="U1305" s="103"/>
      <c r="V1305" s="103"/>
      <c r="W1305" s="103"/>
      <c r="X1305" s="103"/>
      <c r="Y1305" s="103"/>
      <c r="Z1305" s="103"/>
      <c r="AA1305" s="103"/>
      <c r="AB1305" s="103"/>
      <c r="AC1305" s="103">
        <v>10</v>
      </c>
      <c r="AD1305" s="103"/>
      <c r="AE1305" s="103"/>
      <c r="AF1305" s="103"/>
      <c r="AG1305" s="103">
        <v>52</v>
      </c>
      <c r="AH1305" s="103"/>
      <c r="AI1305" s="103">
        <v>23</v>
      </c>
      <c r="AJ1305" s="103"/>
      <c r="AK1305" s="103"/>
      <c r="AL1305" s="103"/>
      <c r="AM1305" s="103"/>
      <c r="AN1305" s="103"/>
      <c r="AO1305" s="103"/>
      <c r="AP1305" s="103"/>
      <c r="AQ1305" s="103"/>
      <c r="AR1305" s="103"/>
      <c r="AS1305" s="103">
        <v>85</v>
      </c>
      <c r="AT1305" s="103"/>
      <c r="AU1305" s="103"/>
      <c r="AV1305" s="103"/>
      <c r="AW1305" s="104" t="str">
        <f>HYPERLINK("http://www.openstreetmap.org/?mlat=35.6935&amp;mlon=43.2597&amp;zoom=12#map=12/35.6935/43.2597","Maplink1")</f>
        <v>Maplink1</v>
      </c>
      <c r="AX1305" s="104" t="str">
        <f>HYPERLINK("https://www.google.iq/maps/search/+35.6935,43.2597/@35.6935,43.2597,14z?hl=en","Maplink2")</f>
        <v>Maplink2</v>
      </c>
      <c r="AY1305" s="104" t="str">
        <f>HYPERLINK("http://www.bing.com/maps/?lvl=14&amp;sty=h&amp;cp=35.6935~43.2597&amp;sp=point.35.6935_43.2597","Maplink3")</f>
        <v>Maplink3</v>
      </c>
    </row>
    <row r="1306" spans="1:51" x14ac:dyDescent="0.2">
      <c r="A1306" s="102">
        <v>33699</v>
      </c>
      <c r="B1306" s="103" t="s">
        <v>35</v>
      </c>
      <c r="C1306" s="103" t="s">
        <v>102</v>
      </c>
      <c r="D1306" s="103" t="s">
        <v>2710</v>
      </c>
      <c r="E1306" s="103" t="s">
        <v>2711</v>
      </c>
      <c r="F1306" s="103">
        <v>36.153944000000003</v>
      </c>
      <c r="G1306" s="103">
        <v>43.025040963800002</v>
      </c>
      <c r="H1306" s="102">
        <v>30</v>
      </c>
      <c r="I1306" s="102">
        <v>180</v>
      </c>
      <c r="J1306" s="103"/>
      <c r="K1306" s="103"/>
      <c r="L1306" s="103"/>
      <c r="M1306" s="103">
        <v>30</v>
      </c>
      <c r="N1306" s="103"/>
      <c r="O1306" s="103"/>
      <c r="P1306" s="103"/>
      <c r="Q1306" s="103"/>
      <c r="R1306" s="103"/>
      <c r="S1306" s="103"/>
      <c r="T1306" s="103"/>
      <c r="U1306" s="103"/>
      <c r="V1306" s="103"/>
      <c r="W1306" s="103"/>
      <c r="X1306" s="103"/>
      <c r="Y1306" s="103"/>
      <c r="Z1306" s="103"/>
      <c r="AA1306" s="103"/>
      <c r="AB1306" s="103"/>
      <c r="AC1306" s="103"/>
      <c r="AD1306" s="103"/>
      <c r="AE1306" s="103"/>
      <c r="AF1306" s="103"/>
      <c r="AG1306" s="103">
        <v>30</v>
      </c>
      <c r="AH1306" s="103"/>
      <c r="AI1306" s="103"/>
      <c r="AJ1306" s="103"/>
      <c r="AK1306" s="103"/>
      <c r="AL1306" s="103"/>
      <c r="AM1306" s="103"/>
      <c r="AN1306" s="103"/>
      <c r="AO1306" s="103"/>
      <c r="AP1306" s="103"/>
      <c r="AQ1306" s="103"/>
      <c r="AR1306" s="103"/>
      <c r="AS1306" s="103">
        <v>30</v>
      </c>
      <c r="AT1306" s="103"/>
      <c r="AU1306" s="103"/>
      <c r="AV1306" s="103"/>
      <c r="AW1306" s="104" t="str">
        <f>HYPERLINK("http://www.openstreetmap.org/?mlat=36.1539&amp;mlon=43.025&amp;zoom=12#map=12/36.1539/43.025","Maplink1")</f>
        <v>Maplink1</v>
      </c>
      <c r="AX1306" s="104" t="str">
        <f>HYPERLINK("https://www.google.iq/maps/search/+36.1539,43.025/@36.1539,43.025,14z?hl=en","Maplink2")</f>
        <v>Maplink2</v>
      </c>
      <c r="AY1306" s="104" t="str">
        <f>HYPERLINK("http://www.bing.com/maps/?lvl=14&amp;sty=h&amp;cp=36.1539~43.025&amp;sp=point.36.1539_43.025","Maplink3")</f>
        <v>Maplink3</v>
      </c>
    </row>
    <row r="1307" spans="1:51" x14ac:dyDescent="0.2">
      <c r="A1307" s="102">
        <v>33787</v>
      </c>
      <c r="B1307" s="103" t="s">
        <v>35</v>
      </c>
      <c r="C1307" s="103" t="s">
        <v>102</v>
      </c>
      <c r="D1307" s="103" t="s">
        <v>2712</v>
      </c>
      <c r="E1307" s="103" t="s">
        <v>2713</v>
      </c>
      <c r="F1307" s="103">
        <v>35.95026</v>
      </c>
      <c r="G1307" s="103">
        <v>43.351751</v>
      </c>
      <c r="H1307" s="102">
        <v>143</v>
      </c>
      <c r="I1307" s="102">
        <v>858</v>
      </c>
      <c r="J1307" s="103"/>
      <c r="K1307" s="103"/>
      <c r="L1307" s="103"/>
      <c r="M1307" s="103">
        <v>143</v>
      </c>
      <c r="N1307" s="103"/>
      <c r="O1307" s="103"/>
      <c r="P1307" s="103"/>
      <c r="Q1307" s="103"/>
      <c r="R1307" s="103"/>
      <c r="S1307" s="103"/>
      <c r="T1307" s="103"/>
      <c r="U1307" s="103"/>
      <c r="V1307" s="103"/>
      <c r="W1307" s="103"/>
      <c r="X1307" s="103"/>
      <c r="Y1307" s="103"/>
      <c r="Z1307" s="103"/>
      <c r="AA1307" s="103">
        <v>143</v>
      </c>
      <c r="AB1307" s="103"/>
      <c r="AC1307" s="103"/>
      <c r="AD1307" s="103"/>
      <c r="AE1307" s="103"/>
      <c r="AF1307" s="103"/>
      <c r="AG1307" s="103"/>
      <c r="AH1307" s="103"/>
      <c r="AI1307" s="103"/>
      <c r="AJ1307" s="103"/>
      <c r="AK1307" s="103"/>
      <c r="AL1307" s="103"/>
      <c r="AM1307" s="103"/>
      <c r="AN1307" s="103"/>
      <c r="AO1307" s="103"/>
      <c r="AP1307" s="103">
        <v>143</v>
      </c>
      <c r="AQ1307" s="103"/>
      <c r="AR1307" s="103"/>
      <c r="AS1307" s="103"/>
      <c r="AT1307" s="103"/>
      <c r="AU1307" s="103"/>
      <c r="AV1307" s="103"/>
      <c r="AW1307" s="104" t="str">
        <f>HYPERLINK("http://www.openstreetmap.org/?mlat=35.9503&amp;mlon=43.3518&amp;zoom=12#map=12/35.9503/43.3518","Maplink1")</f>
        <v>Maplink1</v>
      </c>
      <c r="AX1307" s="104" t="str">
        <f>HYPERLINK("https://www.google.iq/maps/search/+35.9503,43.3518/@35.9503,43.3518,14z?hl=en","Maplink2")</f>
        <v>Maplink2</v>
      </c>
      <c r="AY1307" s="104" t="str">
        <f>HYPERLINK("http://www.bing.com/maps/?lvl=14&amp;sty=h&amp;cp=35.9503~43.3518&amp;sp=point.35.9503_43.3518","Maplink3")</f>
        <v>Maplink3</v>
      </c>
    </row>
    <row r="1308" spans="1:51" x14ac:dyDescent="0.2">
      <c r="A1308" s="102">
        <v>23545</v>
      </c>
      <c r="B1308" s="103" t="s">
        <v>35</v>
      </c>
      <c r="C1308" s="103" t="s">
        <v>102</v>
      </c>
      <c r="D1308" s="103" t="s">
        <v>2902</v>
      </c>
      <c r="E1308" s="103" t="s">
        <v>2903</v>
      </c>
      <c r="F1308" s="103">
        <v>36.253025999999998</v>
      </c>
      <c r="G1308" s="103">
        <v>43.178052000000001</v>
      </c>
      <c r="H1308" s="102">
        <v>30</v>
      </c>
      <c r="I1308" s="102">
        <v>180</v>
      </c>
      <c r="J1308" s="103"/>
      <c r="K1308" s="103"/>
      <c r="L1308" s="103"/>
      <c r="M1308" s="103">
        <v>23</v>
      </c>
      <c r="N1308" s="103">
        <v>7</v>
      </c>
      <c r="O1308" s="103"/>
      <c r="P1308" s="103"/>
      <c r="Q1308" s="103"/>
      <c r="R1308" s="103"/>
      <c r="S1308" s="103"/>
      <c r="T1308" s="103"/>
      <c r="U1308" s="103"/>
      <c r="V1308" s="103"/>
      <c r="W1308" s="103"/>
      <c r="X1308" s="103"/>
      <c r="Y1308" s="103"/>
      <c r="Z1308" s="103"/>
      <c r="AA1308" s="103"/>
      <c r="AB1308" s="103"/>
      <c r="AC1308" s="103"/>
      <c r="AD1308" s="103"/>
      <c r="AE1308" s="103"/>
      <c r="AF1308" s="103"/>
      <c r="AG1308" s="103">
        <v>30</v>
      </c>
      <c r="AH1308" s="103"/>
      <c r="AI1308" s="103"/>
      <c r="AJ1308" s="103"/>
      <c r="AK1308" s="103"/>
      <c r="AL1308" s="103"/>
      <c r="AM1308" s="103"/>
      <c r="AN1308" s="103"/>
      <c r="AO1308" s="103"/>
      <c r="AP1308" s="103"/>
      <c r="AQ1308" s="103"/>
      <c r="AR1308" s="103"/>
      <c r="AS1308" s="103">
        <v>30</v>
      </c>
      <c r="AT1308" s="103"/>
      <c r="AU1308" s="103"/>
      <c r="AV1308" s="103"/>
      <c r="AW1308" s="104" t="str">
        <f>HYPERLINK("http://www.openstreetmap.org/?mlat=36.253&amp;mlon=43.1781&amp;zoom=12#map=12/36.253/43.1781","Maplink1")</f>
        <v>Maplink1</v>
      </c>
      <c r="AX1308" s="104" t="str">
        <f>HYPERLINK("https://www.google.iq/maps/search/+36.253,43.1781/@36.253,43.1781,14z?hl=en","Maplink2")</f>
        <v>Maplink2</v>
      </c>
      <c r="AY1308" s="104" t="str">
        <f>HYPERLINK("http://www.bing.com/maps/?lvl=14&amp;sty=h&amp;cp=36.253~43.1781&amp;sp=point.36.253_43.1781","Maplink3")</f>
        <v>Maplink3</v>
      </c>
    </row>
    <row r="1309" spans="1:51" x14ac:dyDescent="0.2">
      <c r="A1309" s="102">
        <v>18345</v>
      </c>
      <c r="B1309" s="103" t="s">
        <v>35</v>
      </c>
      <c r="C1309" s="103" t="s">
        <v>102</v>
      </c>
      <c r="D1309" s="103" t="s">
        <v>2904</v>
      </c>
      <c r="E1309" s="103" t="s">
        <v>2905</v>
      </c>
      <c r="F1309" s="103">
        <v>36.455306</v>
      </c>
      <c r="G1309" s="103">
        <v>42.873119508800002</v>
      </c>
      <c r="H1309" s="102">
        <v>15</v>
      </c>
      <c r="I1309" s="102">
        <v>90</v>
      </c>
      <c r="J1309" s="103"/>
      <c r="K1309" s="103"/>
      <c r="L1309" s="103"/>
      <c r="M1309" s="103">
        <v>5</v>
      </c>
      <c r="N1309" s="103">
        <v>10</v>
      </c>
      <c r="O1309" s="103"/>
      <c r="P1309" s="103"/>
      <c r="Q1309" s="103"/>
      <c r="R1309" s="103"/>
      <c r="S1309" s="103"/>
      <c r="T1309" s="103"/>
      <c r="U1309" s="103"/>
      <c r="V1309" s="103"/>
      <c r="W1309" s="103"/>
      <c r="X1309" s="103"/>
      <c r="Y1309" s="103"/>
      <c r="Z1309" s="103"/>
      <c r="AA1309" s="103"/>
      <c r="AB1309" s="103"/>
      <c r="AC1309" s="103"/>
      <c r="AD1309" s="103"/>
      <c r="AE1309" s="103"/>
      <c r="AF1309" s="103"/>
      <c r="AG1309" s="103">
        <v>15</v>
      </c>
      <c r="AH1309" s="103"/>
      <c r="AI1309" s="103"/>
      <c r="AJ1309" s="103"/>
      <c r="AK1309" s="103"/>
      <c r="AL1309" s="103"/>
      <c r="AM1309" s="103"/>
      <c r="AN1309" s="103"/>
      <c r="AO1309" s="103"/>
      <c r="AP1309" s="103"/>
      <c r="AQ1309" s="103"/>
      <c r="AR1309" s="103"/>
      <c r="AS1309" s="103">
        <v>15</v>
      </c>
      <c r="AT1309" s="103"/>
      <c r="AU1309" s="103"/>
      <c r="AV1309" s="103"/>
      <c r="AW1309" s="104" t="str">
        <f>HYPERLINK("http://www.openstreetmap.org/?mlat=36.4553&amp;mlon=42.8731&amp;zoom=12#map=12/36.4553/42.8731","Maplink1")</f>
        <v>Maplink1</v>
      </c>
      <c r="AX1309" s="104" t="str">
        <f>HYPERLINK("https://www.google.iq/maps/search/+36.4553,42.8731/@36.4553,42.8731,14z?hl=en","Maplink2")</f>
        <v>Maplink2</v>
      </c>
      <c r="AY1309" s="104" t="str">
        <f>HYPERLINK("http://www.bing.com/maps/?lvl=14&amp;sty=h&amp;cp=36.4553~42.8731&amp;sp=point.36.4553_42.8731","Maplink3")</f>
        <v>Maplink3</v>
      </c>
    </row>
    <row r="1310" spans="1:51" x14ac:dyDescent="0.2">
      <c r="A1310" s="102">
        <v>33242</v>
      </c>
      <c r="B1310" s="103" t="s">
        <v>35</v>
      </c>
      <c r="C1310" s="103" t="s">
        <v>102</v>
      </c>
      <c r="D1310" s="103" t="s">
        <v>2906</v>
      </c>
      <c r="E1310" s="103" t="s">
        <v>2907</v>
      </c>
      <c r="F1310" s="103">
        <v>36.070309180099997</v>
      </c>
      <c r="G1310" s="103">
        <v>42.685073831399997</v>
      </c>
      <c r="H1310" s="102">
        <v>65</v>
      </c>
      <c r="I1310" s="102">
        <v>390</v>
      </c>
      <c r="J1310" s="103"/>
      <c r="K1310" s="103"/>
      <c r="L1310" s="103"/>
      <c r="M1310" s="103">
        <v>62</v>
      </c>
      <c r="N1310" s="103">
        <v>3</v>
      </c>
      <c r="O1310" s="103"/>
      <c r="P1310" s="103"/>
      <c r="Q1310" s="103"/>
      <c r="R1310" s="103"/>
      <c r="S1310" s="103"/>
      <c r="T1310" s="103"/>
      <c r="U1310" s="103"/>
      <c r="V1310" s="103"/>
      <c r="W1310" s="103"/>
      <c r="X1310" s="103"/>
      <c r="Y1310" s="103"/>
      <c r="Z1310" s="103"/>
      <c r="AA1310" s="103"/>
      <c r="AB1310" s="103"/>
      <c r="AC1310" s="103"/>
      <c r="AD1310" s="103"/>
      <c r="AE1310" s="103"/>
      <c r="AF1310" s="103"/>
      <c r="AG1310" s="103">
        <v>65</v>
      </c>
      <c r="AH1310" s="103"/>
      <c r="AI1310" s="103"/>
      <c r="AJ1310" s="103"/>
      <c r="AK1310" s="103"/>
      <c r="AL1310" s="103"/>
      <c r="AM1310" s="103"/>
      <c r="AN1310" s="103"/>
      <c r="AO1310" s="103"/>
      <c r="AP1310" s="103"/>
      <c r="AQ1310" s="103"/>
      <c r="AR1310" s="103"/>
      <c r="AS1310" s="103">
        <v>65</v>
      </c>
      <c r="AT1310" s="103"/>
      <c r="AU1310" s="103"/>
      <c r="AV1310" s="103"/>
      <c r="AW1310" s="104" t="str">
        <f>HYPERLINK("http://www.openstreetmap.org/?mlat=36.0703&amp;mlon=42.6851&amp;zoom=12#map=12/36.0703/42.6851","Maplink1")</f>
        <v>Maplink1</v>
      </c>
      <c r="AX1310" s="104" t="str">
        <f>HYPERLINK("https://www.google.iq/maps/search/+36.0703,42.6851/@36.0703,42.6851,14z?hl=en","Maplink2")</f>
        <v>Maplink2</v>
      </c>
      <c r="AY1310" s="104" t="str">
        <f>HYPERLINK("http://www.bing.com/maps/?lvl=14&amp;sty=h&amp;cp=36.0703~42.6851&amp;sp=point.36.0703_42.6851","Maplink3")</f>
        <v>Maplink3</v>
      </c>
    </row>
    <row r="1311" spans="1:51" x14ac:dyDescent="0.2">
      <c r="A1311" s="102">
        <v>34104</v>
      </c>
      <c r="B1311" s="103" t="s">
        <v>35</v>
      </c>
      <c r="C1311" s="103" t="s">
        <v>102</v>
      </c>
      <c r="D1311" s="103" t="s">
        <v>4001</v>
      </c>
      <c r="E1311" s="103" t="s">
        <v>4002</v>
      </c>
      <c r="F1311" s="103">
        <v>35.660729000000003</v>
      </c>
      <c r="G1311" s="103">
        <v>43.214894999999999</v>
      </c>
      <c r="H1311" s="102">
        <v>40</v>
      </c>
      <c r="I1311" s="102">
        <v>240</v>
      </c>
      <c r="J1311" s="103"/>
      <c r="K1311" s="103"/>
      <c r="L1311" s="103"/>
      <c r="M1311" s="103">
        <v>40</v>
      </c>
      <c r="N1311" s="103"/>
      <c r="O1311" s="103"/>
      <c r="P1311" s="103"/>
      <c r="Q1311" s="103"/>
      <c r="R1311" s="103"/>
      <c r="S1311" s="103"/>
      <c r="T1311" s="103"/>
      <c r="U1311" s="103"/>
      <c r="V1311" s="103"/>
      <c r="W1311" s="103"/>
      <c r="X1311" s="103"/>
      <c r="Y1311" s="103"/>
      <c r="Z1311" s="103"/>
      <c r="AA1311" s="103"/>
      <c r="AB1311" s="103"/>
      <c r="AC1311" s="103"/>
      <c r="AD1311" s="103"/>
      <c r="AE1311" s="103"/>
      <c r="AF1311" s="103"/>
      <c r="AG1311" s="103">
        <v>40</v>
      </c>
      <c r="AH1311" s="103"/>
      <c r="AI1311" s="103"/>
      <c r="AJ1311" s="103"/>
      <c r="AK1311" s="103"/>
      <c r="AL1311" s="103"/>
      <c r="AM1311" s="103"/>
      <c r="AN1311" s="103"/>
      <c r="AO1311" s="103"/>
      <c r="AP1311" s="103"/>
      <c r="AQ1311" s="103"/>
      <c r="AR1311" s="103"/>
      <c r="AS1311" s="103">
        <v>40</v>
      </c>
      <c r="AT1311" s="103"/>
      <c r="AU1311" s="103"/>
      <c r="AV1311" s="103"/>
      <c r="AW1311" s="104" t="str">
        <f>HYPERLINK("http://www.openstreetmap.org/?mlat=35.6607&amp;mlon=43.2149&amp;zoom=12#map=12/35.6607/43.2149","Maplink1")</f>
        <v>Maplink1</v>
      </c>
      <c r="AX1311" s="104" t="str">
        <f>HYPERLINK("https://www.google.iq/maps/search/+35.6607,43.2149/@35.6607,43.2149,14z?hl=en","Maplink2")</f>
        <v>Maplink2</v>
      </c>
      <c r="AY1311" s="104" t="str">
        <f>HYPERLINK("http://www.bing.com/maps/?lvl=14&amp;sty=h&amp;cp=35.6607~43.2149&amp;sp=point.35.6607_43.2149","Maplink3")</f>
        <v>Maplink3</v>
      </c>
    </row>
    <row r="1312" spans="1:51" x14ac:dyDescent="0.2">
      <c r="A1312" s="102">
        <v>24146</v>
      </c>
      <c r="B1312" s="103" t="s">
        <v>35</v>
      </c>
      <c r="C1312" s="103" t="s">
        <v>102</v>
      </c>
      <c r="D1312" s="103" t="s">
        <v>2827</v>
      </c>
      <c r="E1312" s="103" t="s">
        <v>2828</v>
      </c>
      <c r="F1312" s="103">
        <v>36.465126127799998</v>
      </c>
      <c r="G1312" s="103">
        <v>43.2526778286</v>
      </c>
      <c r="H1312" s="102">
        <v>375</v>
      </c>
      <c r="I1312" s="102">
        <v>2250</v>
      </c>
      <c r="J1312" s="103"/>
      <c r="K1312" s="103"/>
      <c r="L1312" s="103"/>
      <c r="M1312" s="103">
        <v>375</v>
      </c>
      <c r="N1312" s="103"/>
      <c r="O1312" s="103"/>
      <c r="P1312" s="103"/>
      <c r="Q1312" s="103"/>
      <c r="R1312" s="103"/>
      <c r="S1312" s="103"/>
      <c r="T1312" s="103"/>
      <c r="U1312" s="103"/>
      <c r="V1312" s="103"/>
      <c r="W1312" s="103"/>
      <c r="X1312" s="103">
        <v>1</v>
      </c>
      <c r="Y1312" s="103">
        <v>27</v>
      </c>
      <c r="Z1312" s="103"/>
      <c r="AA1312" s="103">
        <v>49</v>
      </c>
      <c r="AB1312" s="103"/>
      <c r="AC1312" s="103"/>
      <c r="AD1312" s="103"/>
      <c r="AE1312" s="103"/>
      <c r="AF1312" s="103">
        <v>9</v>
      </c>
      <c r="AG1312" s="103">
        <v>285</v>
      </c>
      <c r="AH1312" s="103"/>
      <c r="AI1312" s="103"/>
      <c r="AJ1312" s="103"/>
      <c r="AK1312" s="103"/>
      <c r="AL1312" s="103">
        <v>4</v>
      </c>
      <c r="AM1312" s="103"/>
      <c r="AN1312" s="103"/>
      <c r="AO1312" s="103">
        <v>375</v>
      </c>
      <c r="AP1312" s="103"/>
      <c r="AQ1312" s="103"/>
      <c r="AR1312" s="103"/>
      <c r="AS1312" s="103"/>
      <c r="AT1312" s="103"/>
      <c r="AU1312" s="103"/>
      <c r="AV1312" s="103"/>
      <c r="AW1312" s="104" t="str">
        <f>HYPERLINK("http://www.openstreetmap.org/?mlat=36.4651&amp;mlon=43.2527&amp;zoom=12#map=12/36.4651/43.2527","Maplink1")</f>
        <v>Maplink1</v>
      </c>
      <c r="AX1312" s="104" t="str">
        <f>HYPERLINK("https://www.google.iq/maps/search/+36.4651,43.2527/@36.4651,43.2527,14z?hl=en","Maplink2")</f>
        <v>Maplink2</v>
      </c>
      <c r="AY1312" s="104" t="str">
        <f>HYPERLINK("http://www.bing.com/maps/?lvl=14&amp;sty=h&amp;cp=36.4651~43.2527&amp;sp=point.36.4651_43.2527","Maplink3")</f>
        <v>Maplink3</v>
      </c>
    </row>
    <row r="1313" spans="1:51" x14ac:dyDescent="0.2">
      <c r="A1313" s="102">
        <v>22315</v>
      </c>
      <c r="B1313" s="103" t="s">
        <v>35</v>
      </c>
      <c r="C1313" s="103" t="s">
        <v>102</v>
      </c>
      <c r="D1313" s="103" t="s">
        <v>2829</v>
      </c>
      <c r="E1313" s="103" t="s">
        <v>991</v>
      </c>
      <c r="F1313" s="103">
        <v>36.424000999999997</v>
      </c>
      <c r="G1313" s="103">
        <v>43.299063337600003</v>
      </c>
      <c r="H1313" s="102">
        <v>900</v>
      </c>
      <c r="I1313" s="102">
        <v>5400</v>
      </c>
      <c r="J1313" s="103"/>
      <c r="K1313" s="103"/>
      <c r="L1313" s="103"/>
      <c r="M1313" s="103">
        <v>900</v>
      </c>
      <c r="N1313" s="103"/>
      <c r="O1313" s="103"/>
      <c r="P1313" s="103"/>
      <c r="Q1313" s="103"/>
      <c r="R1313" s="103"/>
      <c r="S1313" s="103"/>
      <c r="T1313" s="103"/>
      <c r="U1313" s="103"/>
      <c r="V1313" s="103">
        <v>29</v>
      </c>
      <c r="W1313" s="103">
        <v>19</v>
      </c>
      <c r="X1313" s="103"/>
      <c r="Y1313" s="103">
        <v>1</v>
      </c>
      <c r="Z1313" s="103"/>
      <c r="AA1313" s="103">
        <v>45</v>
      </c>
      <c r="AB1313" s="103">
        <v>1</v>
      </c>
      <c r="AC1313" s="103"/>
      <c r="AD1313" s="103"/>
      <c r="AE1313" s="103"/>
      <c r="AF1313" s="103">
        <v>20</v>
      </c>
      <c r="AG1313" s="103">
        <v>732</v>
      </c>
      <c r="AH1313" s="103"/>
      <c r="AI1313" s="103"/>
      <c r="AJ1313" s="103">
        <v>21</v>
      </c>
      <c r="AK1313" s="103">
        <v>5</v>
      </c>
      <c r="AL1313" s="103">
        <v>27</v>
      </c>
      <c r="AM1313" s="103"/>
      <c r="AN1313" s="103"/>
      <c r="AO1313" s="103">
        <v>900</v>
      </c>
      <c r="AP1313" s="103"/>
      <c r="AQ1313" s="103"/>
      <c r="AR1313" s="103"/>
      <c r="AS1313" s="103"/>
      <c r="AT1313" s="103"/>
      <c r="AU1313" s="103"/>
      <c r="AV1313" s="103"/>
      <c r="AW1313" s="104" t="str">
        <f>HYPERLINK("http://www.openstreetmap.org/?mlat=36.424&amp;mlon=43.2991&amp;zoom=12#map=12/36.424/43.2991","Maplink1")</f>
        <v>Maplink1</v>
      </c>
      <c r="AX1313" s="104" t="str">
        <f>HYPERLINK("https://www.google.iq/maps/search/+36.424,43.2991/@36.424,43.2991,14z?hl=en","Maplink2")</f>
        <v>Maplink2</v>
      </c>
      <c r="AY1313" s="104" t="str">
        <f>HYPERLINK("http://www.bing.com/maps/?lvl=14&amp;sty=h&amp;cp=36.424~43.2991&amp;sp=point.36.424_43.2991","Maplink3")</f>
        <v>Maplink3</v>
      </c>
    </row>
    <row r="1314" spans="1:51" x14ac:dyDescent="0.2">
      <c r="A1314" s="102">
        <v>17382</v>
      </c>
      <c r="B1314" s="103" t="s">
        <v>35</v>
      </c>
      <c r="C1314" s="103" t="s">
        <v>102</v>
      </c>
      <c r="D1314" s="103" t="s">
        <v>2830</v>
      </c>
      <c r="E1314" s="103" t="s">
        <v>2831</v>
      </c>
      <c r="F1314" s="103">
        <v>36.368700775999997</v>
      </c>
      <c r="G1314" s="103">
        <v>43.293268527400002</v>
      </c>
      <c r="H1314" s="102">
        <v>2200</v>
      </c>
      <c r="I1314" s="102">
        <v>13200</v>
      </c>
      <c r="J1314" s="103"/>
      <c r="K1314" s="103"/>
      <c r="L1314" s="103"/>
      <c r="M1314" s="103">
        <v>2200</v>
      </c>
      <c r="N1314" s="103"/>
      <c r="O1314" s="103"/>
      <c r="P1314" s="103"/>
      <c r="Q1314" s="103"/>
      <c r="R1314" s="103"/>
      <c r="S1314" s="103"/>
      <c r="T1314" s="103"/>
      <c r="U1314" s="103"/>
      <c r="V1314" s="103">
        <v>90</v>
      </c>
      <c r="W1314" s="103">
        <v>143</v>
      </c>
      <c r="X1314" s="103"/>
      <c r="Y1314" s="103">
        <v>20</v>
      </c>
      <c r="Z1314" s="103"/>
      <c r="AA1314" s="103">
        <v>1383</v>
      </c>
      <c r="AB1314" s="103">
        <v>126</v>
      </c>
      <c r="AC1314" s="103"/>
      <c r="AD1314" s="103"/>
      <c r="AE1314" s="103"/>
      <c r="AF1314" s="103">
        <v>103</v>
      </c>
      <c r="AG1314" s="103">
        <v>93</v>
      </c>
      <c r="AH1314" s="103">
        <v>10</v>
      </c>
      <c r="AI1314" s="103"/>
      <c r="AJ1314" s="103">
        <v>9</v>
      </c>
      <c r="AK1314" s="103"/>
      <c r="AL1314" s="103">
        <v>223</v>
      </c>
      <c r="AM1314" s="103"/>
      <c r="AN1314" s="103"/>
      <c r="AO1314" s="103">
        <v>2180</v>
      </c>
      <c r="AP1314" s="103"/>
      <c r="AQ1314" s="103"/>
      <c r="AR1314" s="103"/>
      <c r="AS1314" s="103">
        <v>20</v>
      </c>
      <c r="AT1314" s="103"/>
      <c r="AU1314" s="103"/>
      <c r="AV1314" s="103"/>
      <c r="AW1314" s="104" t="str">
        <f>HYPERLINK("http://www.openstreetmap.org/?mlat=36.3687&amp;mlon=43.2933&amp;zoom=12#map=12/36.3687/43.2933","Maplink1")</f>
        <v>Maplink1</v>
      </c>
      <c r="AX1314" s="104" t="str">
        <f>HYPERLINK("https://www.google.iq/maps/search/+36.3687,43.2933/@36.3687,43.2933,14z?hl=en","Maplink2")</f>
        <v>Maplink2</v>
      </c>
      <c r="AY1314" s="104" t="str">
        <f>HYPERLINK("http://www.bing.com/maps/?lvl=14&amp;sty=h&amp;cp=36.3687~43.2933&amp;sp=point.36.3687_43.2933","Maplink3")</f>
        <v>Maplink3</v>
      </c>
    </row>
    <row r="1315" spans="1:51" x14ac:dyDescent="0.2">
      <c r="A1315" s="102">
        <v>31919</v>
      </c>
      <c r="B1315" s="103" t="s">
        <v>35</v>
      </c>
      <c r="C1315" s="103" t="s">
        <v>102</v>
      </c>
      <c r="D1315" s="103" t="s">
        <v>2832</v>
      </c>
      <c r="E1315" s="103" t="s">
        <v>2833</v>
      </c>
      <c r="F1315" s="103">
        <v>36.370269717900001</v>
      </c>
      <c r="G1315" s="103">
        <v>43.146094394400002</v>
      </c>
      <c r="H1315" s="102">
        <v>24</v>
      </c>
      <c r="I1315" s="102">
        <v>144</v>
      </c>
      <c r="J1315" s="103"/>
      <c r="K1315" s="103"/>
      <c r="L1315" s="103"/>
      <c r="M1315" s="103">
        <v>24</v>
      </c>
      <c r="N1315" s="103"/>
      <c r="O1315" s="103"/>
      <c r="P1315" s="103"/>
      <c r="Q1315" s="103"/>
      <c r="R1315" s="103"/>
      <c r="S1315" s="103"/>
      <c r="T1315" s="103"/>
      <c r="U1315" s="103"/>
      <c r="V1315" s="103"/>
      <c r="W1315" s="103">
        <v>6</v>
      </c>
      <c r="X1315" s="103"/>
      <c r="Y1315" s="103">
        <v>7</v>
      </c>
      <c r="Z1315" s="103"/>
      <c r="AA1315" s="103">
        <v>11</v>
      </c>
      <c r="AB1315" s="103"/>
      <c r="AC1315" s="103"/>
      <c r="AD1315" s="103"/>
      <c r="AE1315" s="103"/>
      <c r="AF1315" s="103"/>
      <c r="AG1315" s="103"/>
      <c r="AH1315" s="103"/>
      <c r="AI1315" s="103"/>
      <c r="AJ1315" s="103"/>
      <c r="AK1315" s="103"/>
      <c r="AL1315" s="103"/>
      <c r="AM1315" s="103"/>
      <c r="AN1315" s="103">
        <v>24</v>
      </c>
      <c r="AO1315" s="103"/>
      <c r="AP1315" s="103"/>
      <c r="AQ1315" s="103"/>
      <c r="AR1315" s="103"/>
      <c r="AS1315" s="103"/>
      <c r="AT1315" s="103"/>
      <c r="AU1315" s="103"/>
      <c r="AV1315" s="103"/>
      <c r="AW1315" s="104" t="str">
        <f>HYPERLINK("http://www.openstreetmap.org/?mlat=36.3703&amp;mlon=43.1461&amp;zoom=12#map=12/36.3703/43.1461","Maplink1")</f>
        <v>Maplink1</v>
      </c>
      <c r="AX1315" s="104" t="str">
        <f>HYPERLINK("https://www.google.iq/maps/search/+36.3703,43.1461/@36.3703,43.1461,14z?hl=en","Maplink2")</f>
        <v>Maplink2</v>
      </c>
      <c r="AY1315" s="104" t="str">
        <f>HYPERLINK("http://www.bing.com/maps/?lvl=14&amp;sty=h&amp;cp=36.3703~43.1461&amp;sp=point.36.3703_43.1461","Maplink3")</f>
        <v>Maplink3</v>
      </c>
    </row>
    <row r="1316" spans="1:51" x14ac:dyDescent="0.2">
      <c r="A1316" s="102">
        <v>18248</v>
      </c>
      <c r="B1316" s="103" t="s">
        <v>35</v>
      </c>
      <c r="C1316" s="103" t="s">
        <v>102</v>
      </c>
      <c r="D1316" s="103" t="s">
        <v>2834</v>
      </c>
      <c r="E1316" s="103" t="s">
        <v>2835</v>
      </c>
      <c r="F1316" s="103">
        <v>36.361188353700001</v>
      </c>
      <c r="G1316" s="103">
        <v>43.099085681600002</v>
      </c>
      <c r="H1316" s="102">
        <v>342</v>
      </c>
      <c r="I1316" s="102">
        <v>2052</v>
      </c>
      <c r="J1316" s="103"/>
      <c r="K1316" s="103"/>
      <c r="L1316" s="103"/>
      <c r="M1316" s="103">
        <v>342</v>
      </c>
      <c r="N1316" s="103"/>
      <c r="O1316" s="103"/>
      <c r="P1316" s="103"/>
      <c r="Q1316" s="103"/>
      <c r="R1316" s="103"/>
      <c r="S1316" s="103"/>
      <c r="T1316" s="103"/>
      <c r="U1316" s="103"/>
      <c r="V1316" s="103"/>
      <c r="W1316" s="103"/>
      <c r="X1316" s="103"/>
      <c r="Y1316" s="103"/>
      <c r="Z1316" s="103"/>
      <c r="AA1316" s="103"/>
      <c r="AB1316" s="103"/>
      <c r="AC1316" s="103"/>
      <c r="AD1316" s="103"/>
      <c r="AE1316" s="103"/>
      <c r="AF1316" s="103"/>
      <c r="AG1316" s="103">
        <v>342</v>
      </c>
      <c r="AH1316" s="103"/>
      <c r="AI1316" s="103"/>
      <c r="AJ1316" s="103"/>
      <c r="AK1316" s="103"/>
      <c r="AL1316" s="103"/>
      <c r="AM1316" s="103"/>
      <c r="AN1316" s="103"/>
      <c r="AO1316" s="103"/>
      <c r="AP1316" s="103"/>
      <c r="AQ1316" s="103"/>
      <c r="AR1316" s="103"/>
      <c r="AS1316" s="103">
        <v>342</v>
      </c>
      <c r="AT1316" s="103"/>
      <c r="AU1316" s="103"/>
      <c r="AV1316" s="103"/>
      <c r="AW1316" s="104" t="str">
        <f>HYPERLINK("http://www.openstreetmap.org/?mlat=36.3612&amp;mlon=43.0991&amp;zoom=12#map=12/36.3612/43.0991","Maplink1")</f>
        <v>Maplink1</v>
      </c>
      <c r="AX1316" s="104" t="str">
        <f>HYPERLINK("https://www.google.iq/maps/search/+36.3612,43.0991/@36.3612,43.0991,14z?hl=en","Maplink2")</f>
        <v>Maplink2</v>
      </c>
      <c r="AY1316" s="104" t="str">
        <f>HYPERLINK("http://www.bing.com/maps/?lvl=14&amp;sty=h&amp;cp=36.3612~43.0991&amp;sp=point.36.3612_43.0991","Maplink3")</f>
        <v>Maplink3</v>
      </c>
    </row>
    <row r="1317" spans="1:51" x14ac:dyDescent="0.2">
      <c r="A1317" s="102">
        <v>17972</v>
      </c>
      <c r="B1317" s="103" t="s">
        <v>35</v>
      </c>
      <c r="C1317" s="103" t="s">
        <v>102</v>
      </c>
      <c r="D1317" s="103" t="s">
        <v>2836</v>
      </c>
      <c r="E1317" s="103" t="s">
        <v>2837</v>
      </c>
      <c r="F1317" s="103">
        <v>36.139339999999997</v>
      </c>
      <c r="G1317" s="103">
        <v>42.661225286799997</v>
      </c>
      <c r="H1317" s="102">
        <v>40</v>
      </c>
      <c r="I1317" s="102">
        <v>240</v>
      </c>
      <c r="J1317" s="103"/>
      <c r="K1317" s="103"/>
      <c r="L1317" s="103"/>
      <c r="M1317" s="103">
        <v>35</v>
      </c>
      <c r="N1317" s="103">
        <v>5</v>
      </c>
      <c r="O1317" s="103"/>
      <c r="P1317" s="103"/>
      <c r="Q1317" s="103"/>
      <c r="R1317" s="103"/>
      <c r="S1317" s="103"/>
      <c r="T1317" s="103"/>
      <c r="U1317" s="103"/>
      <c r="V1317" s="103"/>
      <c r="W1317" s="103"/>
      <c r="X1317" s="103"/>
      <c r="Y1317" s="103"/>
      <c r="Z1317" s="103"/>
      <c r="AA1317" s="103"/>
      <c r="AB1317" s="103"/>
      <c r="AC1317" s="103"/>
      <c r="AD1317" s="103"/>
      <c r="AE1317" s="103"/>
      <c r="AF1317" s="103"/>
      <c r="AG1317" s="103">
        <v>40</v>
      </c>
      <c r="AH1317" s="103"/>
      <c r="AI1317" s="103"/>
      <c r="AJ1317" s="103"/>
      <c r="AK1317" s="103"/>
      <c r="AL1317" s="103"/>
      <c r="AM1317" s="103"/>
      <c r="AN1317" s="103"/>
      <c r="AO1317" s="103"/>
      <c r="AP1317" s="103"/>
      <c r="AQ1317" s="103"/>
      <c r="AR1317" s="103"/>
      <c r="AS1317" s="103">
        <v>40</v>
      </c>
      <c r="AT1317" s="103"/>
      <c r="AU1317" s="103"/>
      <c r="AV1317" s="103"/>
      <c r="AW1317" s="104" t="str">
        <f>HYPERLINK("http://www.openstreetmap.org/?mlat=36.1393&amp;mlon=42.6612&amp;zoom=12#map=12/36.1393/42.6612","Maplink1")</f>
        <v>Maplink1</v>
      </c>
      <c r="AX1317" s="104" t="str">
        <f>HYPERLINK("https://www.google.iq/maps/search/+36.1393,42.6612/@36.1393,42.6612,14z?hl=en","Maplink2")</f>
        <v>Maplink2</v>
      </c>
      <c r="AY1317" s="104" t="str">
        <f>HYPERLINK("http://www.bing.com/maps/?lvl=14&amp;sty=h&amp;cp=36.1393~42.6612&amp;sp=point.36.1393_42.6612","Maplink3")</f>
        <v>Maplink3</v>
      </c>
    </row>
    <row r="1318" spans="1:51" x14ac:dyDescent="0.2">
      <c r="A1318" s="102">
        <v>18315</v>
      </c>
      <c r="B1318" s="103" t="s">
        <v>35</v>
      </c>
      <c r="C1318" s="103" t="s">
        <v>102</v>
      </c>
      <c r="D1318" s="103" t="s">
        <v>2492</v>
      </c>
      <c r="E1318" s="103" t="s">
        <v>2493</v>
      </c>
      <c r="F1318" s="103">
        <v>36.345497000000002</v>
      </c>
      <c r="G1318" s="103">
        <v>43.134177999999999</v>
      </c>
      <c r="H1318" s="102">
        <v>8</v>
      </c>
      <c r="I1318" s="102">
        <v>48</v>
      </c>
      <c r="J1318" s="103"/>
      <c r="K1318" s="103"/>
      <c r="L1318" s="103"/>
      <c r="M1318" s="103">
        <v>8</v>
      </c>
      <c r="N1318" s="103"/>
      <c r="O1318" s="103"/>
      <c r="P1318" s="103"/>
      <c r="Q1318" s="103"/>
      <c r="R1318" s="103"/>
      <c r="S1318" s="103"/>
      <c r="T1318" s="103"/>
      <c r="U1318" s="103"/>
      <c r="V1318" s="103"/>
      <c r="W1318" s="103"/>
      <c r="X1318" s="103"/>
      <c r="Y1318" s="103"/>
      <c r="Z1318" s="103"/>
      <c r="AA1318" s="103"/>
      <c r="AB1318" s="103"/>
      <c r="AC1318" s="103"/>
      <c r="AD1318" s="103"/>
      <c r="AE1318" s="103"/>
      <c r="AF1318" s="103"/>
      <c r="AG1318" s="103">
        <v>8</v>
      </c>
      <c r="AH1318" s="103"/>
      <c r="AI1318" s="103"/>
      <c r="AJ1318" s="103"/>
      <c r="AK1318" s="103"/>
      <c r="AL1318" s="103"/>
      <c r="AM1318" s="103"/>
      <c r="AN1318" s="103"/>
      <c r="AO1318" s="103"/>
      <c r="AP1318" s="103"/>
      <c r="AQ1318" s="103"/>
      <c r="AR1318" s="103"/>
      <c r="AS1318" s="103">
        <v>8</v>
      </c>
      <c r="AT1318" s="103"/>
      <c r="AU1318" s="103"/>
      <c r="AV1318" s="103"/>
      <c r="AW1318" s="104" t="str">
        <f>HYPERLINK("http://www.openstreetmap.org/?mlat=36.3496&amp;mlon=43.1339&amp;zoom=12#map=12/36.3496/43.1339","Maplink1")</f>
        <v>Maplink1</v>
      </c>
      <c r="AX1318" s="104" t="str">
        <f>HYPERLINK("https://www.google.iq/maps/search/+36.3496,43.1339/@36.3496,43.1339,14z?hl=en","Maplink2")</f>
        <v>Maplink2</v>
      </c>
      <c r="AY1318" s="104" t="str">
        <f>HYPERLINK("http://www.bing.com/maps/?lvl=14&amp;sty=h&amp;cp=36.3496~43.1339&amp;sp=point.36.3496_43.1339","Maplink3")</f>
        <v>Maplink3</v>
      </c>
    </row>
    <row r="1319" spans="1:51" x14ac:dyDescent="0.2">
      <c r="A1319" s="102">
        <v>33935</v>
      </c>
      <c r="B1319" s="103" t="s">
        <v>35</v>
      </c>
      <c r="C1319" s="103" t="s">
        <v>102</v>
      </c>
      <c r="D1319" s="103" t="s">
        <v>2494</v>
      </c>
      <c r="E1319" s="103" t="s">
        <v>2495</v>
      </c>
      <c r="F1319" s="103">
        <v>36.371367999999997</v>
      </c>
      <c r="G1319" s="103">
        <v>43.097026</v>
      </c>
      <c r="H1319" s="102">
        <v>408</v>
      </c>
      <c r="I1319" s="102">
        <v>2448</v>
      </c>
      <c r="J1319" s="103"/>
      <c r="K1319" s="103"/>
      <c r="L1319" s="103"/>
      <c r="M1319" s="103">
        <v>322</v>
      </c>
      <c r="N1319" s="103">
        <v>86</v>
      </c>
      <c r="O1319" s="103"/>
      <c r="P1319" s="103"/>
      <c r="Q1319" s="103"/>
      <c r="R1319" s="103"/>
      <c r="S1319" s="103"/>
      <c r="T1319" s="103"/>
      <c r="U1319" s="103"/>
      <c r="V1319" s="103"/>
      <c r="W1319" s="103"/>
      <c r="X1319" s="103"/>
      <c r="Y1319" s="103"/>
      <c r="Z1319" s="103"/>
      <c r="AA1319" s="103"/>
      <c r="AB1319" s="103"/>
      <c r="AC1319" s="103"/>
      <c r="AD1319" s="103"/>
      <c r="AE1319" s="103"/>
      <c r="AF1319" s="103"/>
      <c r="AG1319" s="103">
        <v>408</v>
      </c>
      <c r="AH1319" s="103"/>
      <c r="AI1319" s="103"/>
      <c r="AJ1319" s="103"/>
      <c r="AK1319" s="103"/>
      <c r="AL1319" s="103"/>
      <c r="AM1319" s="103"/>
      <c r="AN1319" s="103"/>
      <c r="AO1319" s="103"/>
      <c r="AP1319" s="103"/>
      <c r="AQ1319" s="103"/>
      <c r="AR1319" s="103"/>
      <c r="AS1319" s="103">
        <v>408</v>
      </c>
      <c r="AT1319" s="103"/>
      <c r="AU1319" s="103"/>
      <c r="AV1319" s="103"/>
      <c r="AW1319" s="104" t="str">
        <f>HYPERLINK("http://www.openstreetmap.org/?mlat=36.3714&amp;mlon=43.097&amp;zoom=12#map=12/36.3714/43.097","Maplink1")</f>
        <v>Maplink1</v>
      </c>
      <c r="AX1319" s="104" t="str">
        <f>HYPERLINK("https://www.google.iq/maps/search/+36.3714,43.097/@36.3714,43.097,14z?hl=en","Maplink2")</f>
        <v>Maplink2</v>
      </c>
      <c r="AY1319" s="104" t="str">
        <f>HYPERLINK("http://www.bing.com/maps/?lvl=14&amp;sty=h&amp;cp=36.3714~43.097&amp;sp=point.36.3714_43.097","Maplink3")</f>
        <v>Maplink3</v>
      </c>
    </row>
    <row r="1320" spans="1:51" x14ac:dyDescent="0.2">
      <c r="A1320" s="102">
        <v>31722</v>
      </c>
      <c r="B1320" s="103" t="s">
        <v>35</v>
      </c>
      <c r="C1320" s="103" t="s">
        <v>102</v>
      </c>
      <c r="D1320" s="103" t="s">
        <v>4003</v>
      </c>
      <c r="E1320" s="103" t="s">
        <v>4004</v>
      </c>
      <c r="F1320" s="103">
        <v>35.819384999999997</v>
      </c>
      <c r="G1320" s="103">
        <v>43.102933</v>
      </c>
      <c r="H1320" s="102">
        <v>40</v>
      </c>
      <c r="I1320" s="102">
        <v>240</v>
      </c>
      <c r="J1320" s="103"/>
      <c r="K1320" s="103"/>
      <c r="L1320" s="103"/>
      <c r="M1320" s="103">
        <v>40</v>
      </c>
      <c r="N1320" s="103"/>
      <c r="O1320" s="103"/>
      <c r="P1320" s="103"/>
      <c r="Q1320" s="103"/>
      <c r="R1320" s="103"/>
      <c r="S1320" s="103"/>
      <c r="T1320" s="103"/>
      <c r="U1320" s="103"/>
      <c r="V1320" s="103"/>
      <c r="W1320" s="103"/>
      <c r="X1320" s="103"/>
      <c r="Y1320" s="103"/>
      <c r="Z1320" s="103"/>
      <c r="AA1320" s="103"/>
      <c r="AB1320" s="103"/>
      <c r="AC1320" s="103"/>
      <c r="AD1320" s="103"/>
      <c r="AE1320" s="103"/>
      <c r="AF1320" s="103"/>
      <c r="AG1320" s="103">
        <v>40</v>
      </c>
      <c r="AH1320" s="103"/>
      <c r="AI1320" s="103"/>
      <c r="AJ1320" s="103"/>
      <c r="AK1320" s="103"/>
      <c r="AL1320" s="103"/>
      <c r="AM1320" s="103"/>
      <c r="AN1320" s="103"/>
      <c r="AO1320" s="103"/>
      <c r="AP1320" s="103"/>
      <c r="AQ1320" s="103"/>
      <c r="AR1320" s="103"/>
      <c r="AS1320" s="103">
        <v>40</v>
      </c>
      <c r="AT1320" s="103"/>
      <c r="AU1320" s="103"/>
      <c r="AV1320" s="103"/>
      <c r="AW1320" s="104" t="str">
        <f>HYPERLINK("http://www.openstreetmap.org/?mlat=35.8194&amp;mlon=43.1029&amp;zoom=12#map=12/35.8194/43.1029","Maplink1")</f>
        <v>Maplink1</v>
      </c>
      <c r="AX1320" s="104" t="str">
        <f>HYPERLINK("https://www.google.iq/maps/search/+35.8194,43.1029/@35.8194,43.1029,14z?hl=en","Maplink2")</f>
        <v>Maplink2</v>
      </c>
      <c r="AY1320" s="104" t="str">
        <f>HYPERLINK("http://www.bing.com/maps/?lvl=14&amp;sty=h&amp;cp=35.8194~43.1029&amp;sp=point.35.8194_43.1029","Maplink3")</f>
        <v>Maplink3</v>
      </c>
    </row>
    <row r="1321" spans="1:51" x14ac:dyDescent="0.2">
      <c r="A1321" s="102">
        <v>25740</v>
      </c>
      <c r="B1321" s="103" t="s">
        <v>35</v>
      </c>
      <c r="C1321" s="103" t="s">
        <v>102</v>
      </c>
      <c r="D1321" s="103" t="s">
        <v>2496</v>
      </c>
      <c r="E1321" s="103" t="s">
        <v>2497</v>
      </c>
      <c r="F1321" s="103">
        <v>36.362699999999997</v>
      </c>
      <c r="G1321" s="103">
        <v>42.691377596999999</v>
      </c>
      <c r="H1321" s="102">
        <v>536</v>
      </c>
      <c r="I1321" s="102">
        <v>3216</v>
      </c>
      <c r="J1321" s="103"/>
      <c r="K1321" s="103"/>
      <c r="L1321" s="103"/>
      <c r="M1321" s="103">
        <v>533</v>
      </c>
      <c r="N1321" s="103">
        <v>3</v>
      </c>
      <c r="O1321" s="103"/>
      <c r="P1321" s="103"/>
      <c r="Q1321" s="103"/>
      <c r="R1321" s="103"/>
      <c r="S1321" s="103"/>
      <c r="T1321" s="103"/>
      <c r="U1321" s="103"/>
      <c r="V1321" s="103"/>
      <c r="W1321" s="103"/>
      <c r="X1321" s="103"/>
      <c r="Y1321" s="103"/>
      <c r="Z1321" s="103"/>
      <c r="AA1321" s="103"/>
      <c r="AB1321" s="103"/>
      <c r="AC1321" s="103"/>
      <c r="AD1321" s="103"/>
      <c r="AE1321" s="103"/>
      <c r="AF1321" s="103"/>
      <c r="AG1321" s="103">
        <v>536</v>
      </c>
      <c r="AH1321" s="103"/>
      <c r="AI1321" s="103"/>
      <c r="AJ1321" s="103"/>
      <c r="AK1321" s="103"/>
      <c r="AL1321" s="103"/>
      <c r="AM1321" s="103"/>
      <c r="AN1321" s="103"/>
      <c r="AO1321" s="103"/>
      <c r="AP1321" s="103"/>
      <c r="AQ1321" s="103"/>
      <c r="AR1321" s="103"/>
      <c r="AS1321" s="103">
        <v>536</v>
      </c>
      <c r="AT1321" s="103"/>
      <c r="AU1321" s="103"/>
      <c r="AV1321" s="103"/>
      <c r="AW1321" s="104" t="str">
        <f>HYPERLINK("http://www.openstreetmap.org/?mlat=36.3627&amp;mlon=42.6914&amp;zoom=12#map=12/36.3627/42.6914","Maplink1")</f>
        <v>Maplink1</v>
      </c>
      <c r="AX1321" s="104" t="str">
        <f>HYPERLINK("https://www.google.iq/maps/search/+36.3627,42.6914/@36.3627,42.6914,14z?hl=en","Maplink2")</f>
        <v>Maplink2</v>
      </c>
      <c r="AY1321" s="104" t="str">
        <f>HYPERLINK("http://www.bing.com/maps/?lvl=14&amp;sty=h&amp;cp=36.3627~42.6914&amp;sp=point.36.3627_42.6914","Maplink3")</f>
        <v>Maplink3</v>
      </c>
    </row>
    <row r="1322" spans="1:51" x14ac:dyDescent="0.2">
      <c r="A1322" s="102">
        <v>18306</v>
      </c>
      <c r="B1322" s="103" t="s">
        <v>35</v>
      </c>
      <c r="C1322" s="103" t="s">
        <v>102</v>
      </c>
      <c r="D1322" s="103" t="s">
        <v>2498</v>
      </c>
      <c r="E1322" s="103" t="s">
        <v>2499</v>
      </c>
      <c r="F1322" s="103">
        <v>36.401060363200003</v>
      </c>
      <c r="G1322" s="103">
        <v>43.117440140600003</v>
      </c>
      <c r="H1322" s="102">
        <v>135</v>
      </c>
      <c r="I1322" s="102">
        <v>810</v>
      </c>
      <c r="J1322" s="103"/>
      <c r="K1322" s="103"/>
      <c r="L1322" s="103"/>
      <c r="M1322" s="103">
        <v>135</v>
      </c>
      <c r="N1322" s="103"/>
      <c r="O1322" s="103"/>
      <c r="P1322" s="103"/>
      <c r="Q1322" s="103"/>
      <c r="R1322" s="103"/>
      <c r="S1322" s="103"/>
      <c r="T1322" s="103"/>
      <c r="U1322" s="103"/>
      <c r="V1322" s="103"/>
      <c r="W1322" s="103">
        <v>28</v>
      </c>
      <c r="X1322" s="103"/>
      <c r="Y1322" s="103">
        <v>26</v>
      </c>
      <c r="Z1322" s="103"/>
      <c r="AA1322" s="103">
        <v>45</v>
      </c>
      <c r="AB1322" s="103">
        <v>3</v>
      </c>
      <c r="AC1322" s="103"/>
      <c r="AD1322" s="103"/>
      <c r="AE1322" s="103"/>
      <c r="AF1322" s="103"/>
      <c r="AG1322" s="103">
        <v>32</v>
      </c>
      <c r="AH1322" s="103"/>
      <c r="AI1322" s="103"/>
      <c r="AJ1322" s="103">
        <v>1</v>
      </c>
      <c r="AK1322" s="103"/>
      <c r="AL1322" s="103"/>
      <c r="AM1322" s="103"/>
      <c r="AN1322" s="103">
        <v>103</v>
      </c>
      <c r="AO1322" s="103"/>
      <c r="AP1322" s="103"/>
      <c r="AQ1322" s="103"/>
      <c r="AR1322" s="103"/>
      <c r="AS1322" s="103">
        <v>32</v>
      </c>
      <c r="AT1322" s="103"/>
      <c r="AU1322" s="103"/>
      <c r="AV1322" s="103"/>
      <c r="AW1322" s="104" t="str">
        <f>HYPERLINK("http://www.openstreetmap.org/?mlat=36.4011&amp;mlon=43.1174&amp;zoom=12#map=12/36.4011/43.1174","Maplink1")</f>
        <v>Maplink1</v>
      </c>
      <c r="AX1322" s="104" t="str">
        <f>HYPERLINK("https://www.google.iq/maps/search/+36.4011,43.1174/@36.4011,43.1174,14z?hl=en","Maplink2")</f>
        <v>Maplink2</v>
      </c>
      <c r="AY1322" s="104" t="str">
        <f>HYPERLINK("http://www.bing.com/maps/?lvl=14&amp;sty=h&amp;cp=36.4011~43.1174&amp;sp=point.36.4011_43.1174","Maplink3")</f>
        <v>Maplink3</v>
      </c>
    </row>
    <row r="1323" spans="1:51" x14ac:dyDescent="0.2">
      <c r="A1323" s="102">
        <v>32051</v>
      </c>
      <c r="B1323" s="103" t="s">
        <v>35</v>
      </c>
      <c r="C1323" s="103" t="s">
        <v>102</v>
      </c>
      <c r="D1323" s="103" t="s">
        <v>2500</v>
      </c>
      <c r="E1323" s="103" t="s">
        <v>2501</v>
      </c>
      <c r="F1323" s="103">
        <v>36.184134999999998</v>
      </c>
      <c r="G1323" s="103">
        <v>43.037072271600003</v>
      </c>
      <c r="H1323" s="102">
        <v>25</v>
      </c>
      <c r="I1323" s="102">
        <v>150</v>
      </c>
      <c r="J1323" s="103"/>
      <c r="K1323" s="103"/>
      <c r="L1323" s="103"/>
      <c r="M1323" s="103">
        <v>22</v>
      </c>
      <c r="N1323" s="103">
        <v>3</v>
      </c>
      <c r="O1323" s="103"/>
      <c r="P1323" s="103"/>
      <c r="Q1323" s="103"/>
      <c r="R1323" s="103"/>
      <c r="S1323" s="103"/>
      <c r="T1323" s="103"/>
      <c r="U1323" s="103"/>
      <c r="V1323" s="103"/>
      <c r="W1323" s="103"/>
      <c r="X1323" s="103"/>
      <c r="Y1323" s="103"/>
      <c r="Z1323" s="103"/>
      <c r="AA1323" s="103"/>
      <c r="AB1323" s="103"/>
      <c r="AC1323" s="103"/>
      <c r="AD1323" s="103"/>
      <c r="AE1323" s="103"/>
      <c r="AF1323" s="103"/>
      <c r="AG1323" s="103">
        <v>25</v>
      </c>
      <c r="AH1323" s="103"/>
      <c r="AI1323" s="103"/>
      <c r="AJ1323" s="103"/>
      <c r="AK1323" s="103"/>
      <c r="AL1323" s="103"/>
      <c r="AM1323" s="103"/>
      <c r="AN1323" s="103"/>
      <c r="AO1323" s="103"/>
      <c r="AP1323" s="103"/>
      <c r="AQ1323" s="103"/>
      <c r="AR1323" s="103"/>
      <c r="AS1323" s="103">
        <v>25</v>
      </c>
      <c r="AT1323" s="103"/>
      <c r="AU1323" s="103"/>
      <c r="AV1323" s="103"/>
      <c r="AW1323" s="104" t="str">
        <f>HYPERLINK("http://www.openstreetmap.org/?mlat=36.1841&amp;mlon=43.0371&amp;zoom=12#map=12/36.1841/43.0371","Maplink1")</f>
        <v>Maplink1</v>
      </c>
      <c r="AX1323" s="104" t="str">
        <f>HYPERLINK("https://www.google.iq/maps/search/+36.1841,43.0371/@36.1841,43.0371,14z?hl=en","Maplink2")</f>
        <v>Maplink2</v>
      </c>
      <c r="AY1323" s="104" t="str">
        <f>HYPERLINK("http://www.bing.com/maps/?lvl=14&amp;sty=h&amp;cp=36.1841~43.0371&amp;sp=point.36.1841_43.0371","Maplink3")</f>
        <v>Maplink3</v>
      </c>
    </row>
    <row r="1324" spans="1:51" x14ac:dyDescent="0.2">
      <c r="A1324" s="102">
        <v>18416</v>
      </c>
      <c r="B1324" s="103" t="s">
        <v>35</v>
      </c>
      <c r="C1324" s="103" t="s">
        <v>102</v>
      </c>
      <c r="D1324" s="103" t="s">
        <v>2502</v>
      </c>
      <c r="E1324" s="103" t="s">
        <v>1138</v>
      </c>
      <c r="F1324" s="103">
        <v>36.439422</v>
      </c>
      <c r="G1324" s="103">
        <v>42.7643930168</v>
      </c>
      <c r="H1324" s="102">
        <v>52</v>
      </c>
      <c r="I1324" s="102">
        <v>312</v>
      </c>
      <c r="J1324" s="103"/>
      <c r="K1324" s="103"/>
      <c r="L1324" s="103"/>
      <c r="M1324" s="103">
        <v>30</v>
      </c>
      <c r="N1324" s="103">
        <v>22</v>
      </c>
      <c r="O1324" s="103"/>
      <c r="P1324" s="103"/>
      <c r="Q1324" s="103"/>
      <c r="R1324" s="103"/>
      <c r="S1324" s="103"/>
      <c r="T1324" s="103"/>
      <c r="U1324" s="103"/>
      <c r="V1324" s="103"/>
      <c r="W1324" s="103"/>
      <c r="X1324" s="103"/>
      <c r="Y1324" s="103"/>
      <c r="Z1324" s="103"/>
      <c r="AA1324" s="103"/>
      <c r="AB1324" s="103"/>
      <c r="AC1324" s="103"/>
      <c r="AD1324" s="103"/>
      <c r="AE1324" s="103"/>
      <c r="AF1324" s="103"/>
      <c r="AG1324" s="103">
        <v>52</v>
      </c>
      <c r="AH1324" s="103"/>
      <c r="AI1324" s="103"/>
      <c r="AJ1324" s="103"/>
      <c r="AK1324" s="103"/>
      <c r="AL1324" s="103"/>
      <c r="AM1324" s="103"/>
      <c r="AN1324" s="103"/>
      <c r="AO1324" s="103"/>
      <c r="AP1324" s="103"/>
      <c r="AQ1324" s="103"/>
      <c r="AR1324" s="103"/>
      <c r="AS1324" s="103"/>
      <c r="AT1324" s="103">
        <v>52</v>
      </c>
      <c r="AU1324" s="103"/>
      <c r="AV1324" s="103"/>
      <c r="AW1324" s="104" t="str">
        <f>HYPERLINK("http://www.openstreetmap.org/?mlat=36.4394&amp;mlon=42.7644&amp;zoom=12#map=12/36.4394/42.7644","Maplink1")</f>
        <v>Maplink1</v>
      </c>
      <c r="AX1324" s="104" t="str">
        <f>HYPERLINK("https://www.google.iq/maps/search/+36.4394,42.7644/@36.4394,42.7644,14z?hl=en","Maplink2")</f>
        <v>Maplink2</v>
      </c>
      <c r="AY1324" s="104" t="str">
        <f>HYPERLINK("http://www.bing.com/maps/?lvl=14&amp;sty=h&amp;cp=36.4394~42.7644&amp;sp=point.36.4394_42.7644","Maplink3")</f>
        <v>Maplink3</v>
      </c>
    </row>
    <row r="1325" spans="1:51" x14ac:dyDescent="0.2">
      <c r="A1325" s="102">
        <v>21335</v>
      </c>
      <c r="B1325" s="103" t="s">
        <v>35</v>
      </c>
      <c r="C1325" s="103" t="s">
        <v>102</v>
      </c>
      <c r="D1325" s="103" t="s">
        <v>2503</v>
      </c>
      <c r="E1325" s="103" t="s">
        <v>2504</v>
      </c>
      <c r="F1325" s="103">
        <v>36.348278803600003</v>
      </c>
      <c r="G1325" s="103">
        <v>43.102240014099998</v>
      </c>
      <c r="H1325" s="102">
        <v>1199</v>
      </c>
      <c r="I1325" s="102">
        <v>7194</v>
      </c>
      <c r="J1325" s="103"/>
      <c r="K1325" s="103"/>
      <c r="L1325" s="103"/>
      <c r="M1325" s="103">
        <v>1199</v>
      </c>
      <c r="N1325" s="103"/>
      <c r="O1325" s="103"/>
      <c r="P1325" s="103"/>
      <c r="Q1325" s="103"/>
      <c r="R1325" s="103"/>
      <c r="S1325" s="103"/>
      <c r="T1325" s="103"/>
      <c r="U1325" s="103"/>
      <c r="V1325" s="103"/>
      <c r="W1325" s="103"/>
      <c r="X1325" s="103"/>
      <c r="Y1325" s="103"/>
      <c r="Z1325" s="103"/>
      <c r="AA1325" s="103"/>
      <c r="AB1325" s="103"/>
      <c r="AC1325" s="103"/>
      <c r="AD1325" s="103"/>
      <c r="AE1325" s="103"/>
      <c r="AF1325" s="103"/>
      <c r="AG1325" s="103">
        <v>1199</v>
      </c>
      <c r="AH1325" s="103"/>
      <c r="AI1325" s="103"/>
      <c r="AJ1325" s="103"/>
      <c r="AK1325" s="103"/>
      <c r="AL1325" s="103"/>
      <c r="AM1325" s="103"/>
      <c r="AN1325" s="103"/>
      <c r="AO1325" s="103"/>
      <c r="AP1325" s="103"/>
      <c r="AQ1325" s="103"/>
      <c r="AR1325" s="103"/>
      <c r="AS1325" s="103">
        <v>1199</v>
      </c>
      <c r="AT1325" s="103"/>
      <c r="AU1325" s="103"/>
      <c r="AV1325" s="103"/>
      <c r="AW1325" s="104" t="str">
        <f>HYPERLINK("http://www.openstreetmap.org/?mlat=36.3483&amp;mlon=43.1022&amp;zoom=12#map=12/36.3483/43.1022","Maplink1")</f>
        <v>Maplink1</v>
      </c>
      <c r="AX1325" s="104" t="str">
        <f>HYPERLINK("https://www.google.iq/maps/search/+36.3483,43.1022/@36.3483,43.1022,14z?hl=en","Maplink2")</f>
        <v>Maplink2</v>
      </c>
      <c r="AY1325" s="104" t="str">
        <f>HYPERLINK("http://www.bing.com/maps/?lvl=14&amp;sty=h&amp;cp=36.3483~43.1022&amp;sp=point.36.3483_43.1022","Maplink3")</f>
        <v>Maplink3</v>
      </c>
    </row>
    <row r="1326" spans="1:51" x14ac:dyDescent="0.2">
      <c r="A1326" s="102">
        <v>33461</v>
      </c>
      <c r="B1326" s="103" t="s">
        <v>35</v>
      </c>
      <c r="C1326" s="103" t="s">
        <v>102</v>
      </c>
      <c r="D1326" s="103" t="s">
        <v>1991</v>
      </c>
      <c r="E1326" s="103" t="s">
        <v>2505</v>
      </c>
      <c r="F1326" s="103">
        <v>36.340389999999999</v>
      </c>
      <c r="G1326" s="103">
        <v>43.153841832600001</v>
      </c>
      <c r="H1326" s="102">
        <v>96</v>
      </c>
      <c r="I1326" s="102">
        <v>576</v>
      </c>
      <c r="J1326" s="103"/>
      <c r="K1326" s="103"/>
      <c r="L1326" s="103"/>
      <c r="M1326" s="103">
        <v>96</v>
      </c>
      <c r="N1326" s="103"/>
      <c r="O1326" s="103"/>
      <c r="P1326" s="103"/>
      <c r="Q1326" s="103"/>
      <c r="R1326" s="103"/>
      <c r="S1326" s="103"/>
      <c r="T1326" s="103"/>
      <c r="U1326" s="103"/>
      <c r="V1326" s="103"/>
      <c r="W1326" s="103">
        <v>18</v>
      </c>
      <c r="X1326" s="103"/>
      <c r="Y1326" s="103">
        <v>29</v>
      </c>
      <c r="Z1326" s="103"/>
      <c r="AA1326" s="103">
        <v>30</v>
      </c>
      <c r="AB1326" s="103"/>
      <c r="AC1326" s="103"/>
      <c r="AD1326" s="103"/>
      <c r="AE1326" s="103"/>
      <c r="AF1326" s="103"/>
      <c r="AG1326" s="103">
        <v>19</v>
      </c>
      <c r="AH1326" s="103"/>
      <c r="AI1326" s="103"/>
      <c r="AJ1326" s="103"/>
      <c r="AK1326" s="103"/>
      <c r="AL1326" s="103"/>
      <c r="AM1326" s="103"/>
      <c r="AN1326" s="103">
        <v>77</v>
      </c>
      <c r="AO1326" s="103"/>
      <c r="AP1326" s="103"/>
      <c r="AQ1326" s="103"/>
      <c r="AR1326" s="103"/>
      <c r="AS1326" s="103">
        <v>19</v>
      </c>
      <c r="AT1326" s="103"/>
      <c r="AU1326" s="103"/>
      <c r="AV1326" s="103"/>
      <c r="AW1326" s="104" t="str">
        <f>HYPERLINK("http://www.openstreetmap.org/?mlat=36.3404&amp;mlon=43.1538&amp;zoom=12#map=12/36.3404/43.1538","Maplink1")</f>
        <v>Maplink1</v>
      </c>
      <c r="AX1326" s="104" t="str">
        <f>HYPERLINK("https://www.google.iq/maps/search/+36.3404,43.1538/@36.3404,43.1538,14z?hl=en","Maplink2")</f>
        <v>Maplink2</v>
      </c>
      <c r="AY1326" s="104" t="str">
        <f>HYPERLINK("http://www.bing.com/maps/?lvl=14&amp;sty=h&amp;cp=36.3404~43.1538&amp;sp=point.36.3404_43.1538","Maplink3")</f>
        <v>Maplink3</v>
      </c>
    </row>
    <row r="1327" spans="1:51" x14ac:dyDescent="0.2">
      <c r="A1327" s="102">
        <v>17506</v>
      </c>
      <c r="B1327" s="103" t="s">
        <v>35</v>
      </c>
      <c r="C1327" s="103" t="s">
        <v>102</v>
      </c>
      <c r="D1327" s="103" t="s">
        <v>2506</v>
      </c>
      <c r="E1327" s="103" t="s">
        <v>2507</v>
      </c>
      <c r="F1327" s="103">
        <v>35.912692999999997</v>
      </c>
      <c r="G1327" s="103">
        <v>43.314301977500001</v>
      </c>
      <c r="H1327" s="102">
        <v>150</v>
      </c>
      <c r="I1327" s="102">
        <v>900</v>
      </c>
      <c r="J1327" s="103"/>
      <c r="K1327" s="103"/>
      <c r="L1327" s="103"/>
      <c r="M1327" s="103">
        <v>150</v>
      </c>
      <c r="N1327" s="103"/>
      <c r="O1327" s="103"/>
      <c r="P1327" s="103"/>
      <c r="Q1327" s="103"/>
      <c r="R1327" s="103"/>
      <c r="S1327" s="103"/>
      <c r="T1327" s="103"/>
      <c r="U1327" s="103"/>
      <c r="V1327" s="103"/>
      <c r="W1327" s="103"/>
      <c r="X1327" s="103"/>
      <c r="Y1327" s="103"/>
      <c r="Z1327" s="103"/>
      <c r="AA1327" s="103"/>
      <c r="AB1327" s="103"/>
      <c r="AC1327" s="103"/>
      <c r="AD1327" s="103"/>
      <c r="AE1327" s="103"/>
      <c r="AF1327" s="103"/>
      <c r="AG1327" s="103">
        <v>150</v>
      </c>
      <c r="AH1327" s="103"/>
      <c r="AI1327" s="103"/>
      <c r="AJ1327" s="103"/>
      <c r="AK1327" s="103"/>
      <c r="AL1327" s="103"/>
      <c r="AM1327" s="103"/>
      <c r="AN1327" s="103"/>
      <c r="AO1327" s="103"/>
      <c r="AP1327" s="103"/>
      <c r="AQ1327" s="103"/>
      <c r="AR1327" s="103"/>
      <c r="AS1327" s="103">
        <v>150</v>
      </c>
      <c r="AT1327" s="103"/>
      <c r="AU1327" s="103"/>
      <c r="AV1327" s="103"/>
      <c r="AW1327" s="104" t="str">
        <f>HYPERLINK("http://www.openstreetmap.org/?mlat=35.9127&amp;mlon=43.3143&amp;zoom=12#map=12/35.9127/43.3143","Maplink1")</f>
        <v>Maplink1</v>
      </c>
      <c r="AX1327" s="104" t="str">
        <f>HYPERLINK("https://www.google.iq/maps/search/+35.9127,43.3143/@35.9127,43.3143,14z?hl=en","Maplink2")</f>
        <v>Maplink2</v>
      </c>
      <c r="AY1327" s="104" t="str">
        <f>HYPERLINK("http://www.bing.com/maps/?lvl=14&amp;sty=h&amp;cp=35.9127~43.3143&amp;sp=point.35.9127_43.3143","Maplink3")</f>
        <v>Maplink3</v>
      </c>
    </row>
    <row r="1328" spans="1:51" x14ac:dyDescent="0.2">
      <c r="A1328" s="102">
        <v>31914</v>
      </c>
      <c r="B1328" s="103" t="s">
        <v>35</v>
      </c>
      <c r="C1328" s="103" t="s">
        <v>102</v>
      </c>
      <c r="D1328" s="103" t="s">
        <v>2776</v>
      </c>
      <c r="E1328" s="103" t="s">
        <v>2777</v>
      </c>
      <c r="F1328" s="103">
        <v>36.373596756300003</v>
      </c>
      <c r="G1328" s="103">
        <v>43.202060806299997</v>
      </c>
      <c r="H1328" s="102">
        <v>1010</v>
      </c>
      <c r="I1328" s="102">
        <v>6060</v>
      </c>
      <c r="J1328" s="103"/>
      <c r="K1328" s="103"/>
      <c r="L1328" s="103"/>
      <c r="M1328" s="103">
        <v>1010</v>
      </c>
      <c r="N1328" s="103"/>
      <c r="O1328" s="103"/>
      <c r="P1328" s="103"/>
      <c r="Q1328" s="103"/>
      <c r="R1328" s="103"/>
      <c r="S1328" s="103"/>
      <c r="T1328" s="103"/>
      <c r="U1328" s="103"/>
      <c r="V1328" s="103"/>
      <c r="W1328" s="103">
        <v>14</v>
      </c>
      <c r="X1328" s="103"/>
      <c r="Y1328" s="103">
        <v>10</v>
      </c>
      <c r="Z1328" s="103"/>
      <c r="AA1328" s="103">
        <v>14</v>
      </c>
      <c r="AB1328" s="103"/>
      <c r="AC1328" s="103"/>
      <c r="AD1328" s="103"/>
      <c r="AE1328" s="103"/>
      <c r="AF1328" s="103"/>
      <c r="AG1328" s="103">
        <v>972</v>
      </c>
      <c r="AH1328" s="103"/>
      <c r="AI1328" s="103"/>
      <c r="AJ1328" s="103"/>
      <c r="AK1328" s="103"/>
      <c r="AL1328" s="103"/>
      <c r="AM1328" s="103"/>
      <c r="AN1328" s="103">
        <v>38</v>
      </c>
      <c r="AO1328" s="103"/>
      <c r="AP1328" s="103"/>
      <c r="AQ1328" s="103"/>
      <c r="AR1328" s="103"/>
      <c r="AS1328" s="103">
        <v>972</v>
      </c>
      <c r="AT1328" s="103"/>
      <c r="AU1328" s="103"/>
      <c r="AV1328" s="103"/>
      <c r="AW1328" s="104" t="str">
        <f>HYPERLINK("http://www.openstreetmap.org/?mlat=36.3736&amp;mlon=43.2021&amp;zoom=12#map=12/36.3736/43.2021","Maplink1")</f>
        <v>Maplink1</v>
      </c>
      <c r="AX1328" s="104" t="str">
        <f>HYPERLINK("https://www.google.iq/maps/search/+36.3736,43.2021/@36.3736,43.2021,14z?hl=en","Maplink2")</f>
        <v>Maplink2</v>
      </c>
      <c r="AY1328" s="104" t="str">
        <f>HYPERLINK("http://www.bing.com/maps/?lvl=14&amp;sty=h&amp;cp=36.3736~43.2021&amp;sp=point.36.3736_43.2021","Maplink3")</f>
        <v>Maplink3</v>
      </c>
    </row>
    <row r="1329" spans="1:51" x14ac:dyDescent="0.2">
      <c r="A1329" s="102">
        <v>33264</v>
      </c>
      <c r="B1329" s="103" t="s">
        <v>35</v>
      </c>
      <c r="C1329" s="103" t="s">
        <v>102</v>
      </c>
      <c r="D1329" s="103" t="s">
        <v>2778</v>
      </c>
      <c r="E1329" s="103" t="s">
        <v>2779</v>
      </c>
      <c r="F1329" s="103">
        <v>36.339142164400002</v>
      </c>
      <c r="G1329" s="103">
        <v>43.091268282900003</v>
      </c>
      <c r="H1329" s="102">
        <v>876</v>
      </c>
      <c r="I1329" s="102">
        <v>5256</v>
      </c>
      <c r="J1329" s="103"/>
      <c r="K1329" s="103"/>
      <c r="L1329" s="103"/>
      <c r="M1329" s="103">
        <v>876</v>
      </c>
      <c r="N1329" s="103"/>
      <c r="O1329" s="103"/>
      <c r="P1329" s="103"/>
      <c r="Q1329" s="103"/>
      <c r="R1329" s="103"/>
      <c r="S1329" s="103"/>
      <c r="T1329" s="103"/>
      <c r="U1329" s="103"/>
      <c r="V1329" s="103"/>
      <c r="W1329" s="103"/>
      <c r="X1329" s="103"/>
      <c r="Y1329" s="103"/>
      <c r="Z1329" s="103"/>
      <c r="AA1329" s="103"/>
      <c r="AB1329" s="103"/>
      <c r="AC1329" s="103"/>
      <c r="AD1329" s="103"/>
      <c r="AE1329" s="103"/>
      <c r="AF1329" s="103"/>
      <c r="AG1329" s="103">
        <v>876</v>
      </c>
      <c r="AH1329" s="103"/>
      <c r="AI1329" s="103"/>
      <c r="AJ1329" s="103"/>
      <c r="AK1329" s="103"/>
      <c r="AL1329" s="103"/>
      <c r="AM1329" s="103"/>
      <c r="AN1329" s="103"/>
      <c r="AO1329" s="103"/>
      <c r="AP1329" s="103"/>
      <c r="AQ1329" s="103"/>
      <c r="AR1329" s="103"/>
      <c r="AS1329" s="103">
        <v>876</v>
      </c>
      <c r="AT1329" s="103"/>
      <c r="AU1329" s="103"/>
      <c r="AV1329" s="103"/>
      <c r="AW1329" s="104" t="str">
        <f>HYPERLINK("http://www.openstreetmap.org/?mlat=36.3391&amp;mlon=43.0913&amp;zoom=12#map=12/36.3391/43.0913","Maplink1")</f>
        <v>Maplink1</v>
      </c>
      <c r="AX1329" s="104" t="str">
        <f>HYPERLINK("https://www.google.iq/maps/search/+36.3391,43.0913/@36.3391,43.0913,14z?hl=en","Maplink2")</f>
        <v>Maplink2</v>
      </c>
      <c r="AY1329" s="104" t="str">
        <f>HYPERLINK("http://www.bing.com/maps/?lvl=14&amp;sty=h&amp;cp=36.3391~43.0913&amp;sp=point.36.3391_43.0913","Maplink3")</f>
        <v>Maplink3</v>
      </c>
    </row>
    <row r="1330" spans="1:51" x14ac:dyDescent="0.2">
      <c r="A1330" s="102">
        <v>33374</v>
      </c>
      <c r="B1330" s="103" t="s">
        <v>35</v>
      </c>
      <c r="C1330" s="103" t="s">
        <v>102</v>
      </c>
      <c r="D1330" s="103" t="s">
        <v>2780</v>
      </c>
      <c r="E1330" s="103" t="s">
        <v>2781</v>
      </c>
      <c r="F1330" s="103">
        <v>36.36553</v>
      </c>
      <c r="G1330" s="103">
        <v>43.208373047599999</v>
      </c>
      <c r="H1330" s="102">
        <v>716</v>
      </c>
      <c r="I1330" s="102">
        <v>4296</v>
      </c>
      <c r="J1330" s="103"/>
      <c r="K1330" s="103"/>
      <c r="L1330" s="103"/>
      <c r="M1330" s="103">
        <v>716</v>
      </c>
      <c r="N1330" s="103"/>
      <c r="O1330" s="103"/>
      <c r="P1330" s="103"/>
      <c r="Q1330" s="103"/>
      <c r="R1330" s="103"/>
      <c r="S1330" s="103"/>
      <c r="T1330" s="103"/>
      <c r="U1330" s="103"/>
      <c r="V1330" s="103"/>
      <c r="W1330" s="103">
        <v>3</v>
      </c>
      <c r="X1330" s="103"/>
      <c r="Y1330" s="103">
        <v>11</v>
      </c>
      <c r="Z1330" s="103"/>
      <c r="AA1330" s="103">
        <v>32</v>
      </c>
      <c r="AB1330" s="103"/>
      <c r="AC1330" s="103"/>
      <c r="AD1330" s="103"/>
      <c r="AE1330" s="103"/>
      <c r="AF1330" s="103"/>
      <c r="AG1330" s="103">
        <v>670</v>
      </c>
      <c r="AH1330" s="103"/>
      <c r="AI1330" s="103"/>
      <c r="AJ1330" s="103"/>
      <c r="AK1330" s="103"/>
      <c r="AL1330" s="103"/>
      <c r="AM1330" s="103"/>
      <c r="AN1330" s="103">
        <v>46</v>
      </c>
      <c r="AO1330" s="103"/>
      <c r="AP1330" s="103"/>
      <c r="AQ1330" s="103"/>
      <c r="AR1330" s="103"/>
      <c r="AS1330" s="103">
        <v>670</v>
      </c>
      <c r="AT1330" s="103"/>
      <c r="AU1330" s="103"/>
      <c r="AV1330" s="103"/>
      <c r="AW1330" s="104" t="str">
        <f>HYPERLINK("http://www.openstreetmap.org/?mlat=36.3655&amp;mlon=43.2084&amp;zoom=12#map=12/36.3655/43.2084","Maplink1")</f>
        <v>Maplink1</v>
      </c>
      <c r="AX1330" s="104" t="str">
        <f>HYPERLINK("https://www.google.iq/maps/search/+36.3655,43.2084/@36.3655,43.2084,14z?hl=en","Maplink2")</f>
        <v>Maplink2</v>
      </c>
      <c r="AY1330" s="104" t="str">
        <f>HYPERLINK("http://www.bing.com/maps/?lvl=14&amp;sty=h&amp;cp=36.3655~43.2084&amp;sp=point.36.3655_43.2084","Maplink3")</f>
        <v>Maplink3</v>
      </c>
    </row>
    <row r="1331" spans="1:51" x14ac:dyDescent="0.2">
      <c r="A1331" s="102">
        <v>33776</v>
      </c>
      <c r="B1331" s="103" t="s">
        <v>35</v>
      </c>
      <c r="C1331" s="103" t="s">
        <v>102</v>
      </c>
      <c r="D1331" s="103" t="s">
        <v>2782</v>
      </c>
      <c r="E1331" s="103" t="s">
        <v>2783</v>
      </c>
      <c r="F1331" s="103">
        <v>35.990662999999998</v>
      </c>
      <c r="G1331" s="103">
        <v>43.141098</v>
      </c>
      <c r="H1331" s="102">
        <v>2</v>
      </c>
      <c r="I1331" s="102">
        <v>12</v>
      </c>
      <c r="J1331" s="103"/>
      <c r="K1331" s="103"/>
      <c r="L1331" s="103"/>
      <c r="M1331" s="103">
        <v>2</v>
      </c>
      <c r="N1331" s="103"/>
      <c r="O1331" s="103"/>
      <c r="P1331" s="103"/>
      <c r="Q1331" s="103"/>
      <c r="R1331" s="103"/>
      <c r="S1331" s="103"/>
      <c r="T1331" s="103"/>
      <c r="U1331" s="103"/>
      <c r="V1331" s="103"/>
      <c r="W1331" s="103"/>
      <c r="X1331" s="103"/>
      <c r="Y1331" s="103"/>
      <c r="Z1331" s="103"/>
      <c r="AA1331" s="103"/>
      <c r="AB1331" s="103"/>
      <c r="AC1331" s="103"/>
      <c r="AD1331" s="103"/>
      <c r="AE1331" s="103"/>
      <c r="AF1331" s="103"/>
      <c r="AG1331" s="103">
        <v>2</v>
      </c>
      <c r="AH1331" s="103"/>
      <c r="AI1331" s="103"/>
      <c r="AJ1331" s="103"/>
      <c r="AK1331" s="103"/>
      <c r="AL1331" s="103"/>
      <c r="AM1331" s="103"/>
      <c r="AN1331" s="103"/>
      <c r="AO1331" s="103"/>
      <c r="AP1331" s="103"/>
      <c r="AQ1331" s="103"/>
      <c r="AR1331" s="103"/>
      <c r="AS1331" s="103">
        <v>2</v>
      </c>
      <c r="AT1331" s="103"/>
      <c r="AU1331" s="103"/>
      <c r="AV1331" s="103"/>
      <c r="AW1331" s="104" t="str">
        <f>HYPERLINK("http://www.openstreetmap.org/?mlat=35.9907&amp;mlon=43.1411&amp;zoom=12#map=12/35.9907/43.1411","Maplink1")</f>
        <v>Maplink1</v>
      </c>
      <c r="AX1331" s="104" t="str">
        <f>HYPERLINK("https://www.google.iq/maps/search/+35.9907,43.1411/@35.9907,43.1411,14z?hl=en","Maplink2")</f>
        <v>Maplink2</v>
      </c>
      <c r="AY1331" s="104" t="str">
        <f>HYPERLINK("http://www.bing.com/maps/?lvl=14&amp;sty=h&amp;cp=35.9907~43.1411&amp;sp=point.35.9907_43.1411","Maplink3")</f>
        <v>Maplink3</v>
      </c>
    </row>
    <row r="1332" spans="1:51" x14ac:dyDescent="0.2">
      <c r="A1332" s="102">
        <v>18314</v>
      </c>
      <c r="B1332" s="103" t="s">
        <v>35</v>
      </c>
      <c r="C1332" s="103" t="s">
        <v>102</v>
      </c>
      <c r="D1332" s="103" t="s">
        <v>2337</v>
      </c>
      <c r="E1332" s="103" t="s">
        <v>2338</v>
      </c>
      <c r="F1332" s="103">
        <v>36.321603521</v>
      </c>
      <c r="G1332" s="103">
        <v>43.2184224035</v>
      </c>
      <c r="H1332" s="102">
        <v>411</v>
      </c>
      <c r="I1332" s="102">
        <v>2466</v>
      </c>
      <c r="J1332" s="103"/>
      <c r="K1332" s="103"/>
      <c r="L1332" s="103"/>
      <c r="M1332" s="103">
        <v>411</v>
      </c>
      <c r="N1332" s="103"/>
      <c r="O1332" s="103"/>
      <c r="P1332" s="103"/>
      <c r="Q1332" s="103"/>
      <c r="R1332" s="103"/>
      <c r="S1332" s="103"/>
      <c r="T1332" s="103"/>
      <c r="U1332" s="103"/>
      <c r="V1332" s="103"/>
      <c r="W1332" s="103">
        <v>2</v>
      </c>
      <c r="X1332" s="103"/>
      <c r="Y1332" s="103">
        <v>6</v>
      </c>
      <c r="Z1332" s="103"/>
      <c r="AA1332" s="103">
        <v>17</v>
      </c>
      <c r="AB1332" s="103"/>
      <c r="AC1332" s="103">
        <v>11</v>
      </c>
      <c r="AD1332" s="103"/>
      <c r="AE1332" s="103"/>
      <c r="AF1332" s="103"/>
      <c r="AG1332" s="103">
        <v>375</v>
      </c>
      <c r="AH1332" s="103"/>
      <c r="AI1332" s="103"/>
      <c r="AJ1332" s="103"/>
      <c r="AK1332" s="103"/>
      <c r="AL1332" s="103"/>
      <c r="AM1332" s="103"/>
      <c r="AN1332" s="103">
        <v>36</v>
      </c>
      <c r="AO1332" s="103"/>
      <c r="AP1332" s="103"/>
      <c r="AQ1332" s="103"/>
      <c r="AR1332" s="103"/>
      <c r="AS1332" s="103">
        <v>375</v>
      </c>
      <c r="AT1332" s="103"/>
      <c r="AU1332" s="103"/>
      <c r="AV1332" s="103"/>
      <c r="AW1332" s="104" t="str">
        <f>HYPERLINK("http://www.openstreetmap.org/?mlat=36.3216&amp;mlon=43.2184&amp;zoom=12#map=12/36.3216/43.2184","Maplink1")</f>
        <v>Maplink1</v>
      </c>
      <c r="AX1332" s="104" t="str">
        <f>HYPERLINK("https://www.google.iq/maps/search/+36.3216,43.2184/@36.3216,43.2184,14z?hl=en","Maplink2")</f>
        <v>Maplink2</v>
      </c>
      <c r="AY1332" s="104" t="str">
        <f>HYPERLINK("http://www.bing.com/maps/?lvl=14&amp;sty=h&amp;cp=36.3216~43.2184&amp;sp=point.36.3216_43.2184","Maplink3")</f>
        <v>Maplink3</v>
      </c>
    </row>
    <row r="1333" spans="1:51" x14ac:dyDescent="0.2">
      <c r="A1333" s="102">
        <v>24384</v>
      </c>
      <c r="B1333" s="103" t="s">
        <v>35</v>
      </c>
      <c r="C1333" s="103" t="s">
        <v>102</v>
      </c>
      <c r="D1333" s="103" t="s">
        <v>2339</v>
      </c>
      <c r="E1333" s="103" t="s">
        <v>2340</v>
      </c>
      <c r="F1333" s="103">
        <v>36.399686000000003</v>
      </c>
      <c r="G1333" s="103">
        <v>43.377417493099998</v>
      </c>
      <c r="H1333" s="102">
        <v>214</v>
      </c>
      <c r="I1333" s="102">
        <v>1284</v>
      </c>
      <c r="J1333" s="103"/>
      <c r="K1333" s="103"/>
      <c r="L1333" s="103"/>
      <c r="M1333" s="103">
        <v>214</v>
      </c>
      <c r="N1333" s="103"/>
      <c r="O1333" s="103"/>
      <c r="P1333" s="103"/>
      <c r="Q1333" s="103"/>
      <c r="R1333" s="103"/>
      <c r="S1333" s="103"/>
      <c r="T1333" s="103"/>
      <c r="U1333" s="103"/>
      <c r="V1333" s="103"/>
      <c r="W1333" s="103"/>
      <c r="X1333" s="103"/>
      <c r="Y1333" s="103">
        <v>16</v>
      </c>
      <c r="Z1333" s="103"/>
      <c r="AA1333" s="103">
        <v>45</v>
      </c>
      <c r="AB1333" s="103"/>
      <c r="AC1333" s="103"/>
      <c r="AD1333" s="103">
        <v>16</v>
      </c>
      <c r="AE1333" s="103"/>
      <c r="AF1333" s="103">
        <v>12</v>
      </c>
      <c r="AG1333" s="103">
        <v>65</v>
      </c>
      <c r="AH1333" s="103">
        <v>25</v>
      </c>
      <c r="AI1333" s="103"/>
      <c r="AJ1333" s="103"/>
      <c r="AK1333" s="103"/>
      <c r="AL1333" s="103">
        <v>35</v>
      </c>
      <c r="AM1333" s="103"/>
      <c r="AN1333" s="103"/>
      <c r="AO1333" s="103">
        <v>214</v>
      </c>
      <c r="AP1333" s="103"/>
      <c r="AQ1333" s="103"/>
      <c r="AR1333" s="103"/>
      <c r="AS1333" s="103"/>
      <c r="AT1333" s="103"/>
      <c r="AU1333" s="103"/>
      <c r="AV1333" s="103"/>
      <c r="AW1333" s="104" t="str">
        <f>HYPERLINK("http://www.openstreetmap.org/?mlat=36.3997&amp;mlon=43.3774&amp;zoom=12#map=12/36.3997/43.3774","Maplink1")</f>
        <v>Maplink1</v>
      </c>
      <c r="AX1333" s="104" t="str">
        <f>HYPERLINK("https://www.google.iq/maps/search/+36.3997,43.3774/@36.3997,43.3774,14z?hl=en","Maplink2")</f>
        <v>Maplink2</v>
      </c>
      <c r="AY1333" s="104" t="str">
        <f>HYPERLINK("http://www.bing.com/maps/?lvl=14&amp;sty=h&amp;cp=36.3997~43.3774&amp;sp=point.36.3997_43.3774","Maplink3")</f>
        <v>Maplink3</v>
      </c>
    </row>
    <row r="1334" spans="1:51" x14ac:dyDescent="0.2">
      <c r="A1334" s="102">
        <v>17738</v>
      </c>
      <c r="B1334" s="103" t="s">
        <v>35</v>
      </c>
      <c r="C1334" s="103" t="s">
        <v>102</v>
      </c>
      <c r="D1334" s="103" t="s">
        <v>2341</v>
      </c>
      <c r="E1334" s="103" t="s">
        <v>2342</v>
      </c>
      <c r="F1334" s="103">
        <v>36.021738587999998</v>
      </c>
      <c r="G1334" s="103">
        <v>43.272823002199999</v>
      </c>
      <c r="H1334" s="102">
        <v>401</v>
      </c>
      <c r="I1334" s="102">
        <v>2406</v>
      </c>
      <c r="J1334" s="103"/>
      <c r="K1334" s="103"/>
      <c r="L1334" s="103"/>
      <c r="M1334" s="103">
        <v>401</v>
      </c>
      <c r="N1334" s="103"/>
      <c r="O1334" s="103"/>
      <c r="P1334" s="103"/>
      <c r="Q1334" s="103"/>
      <c r="R1334" s="103"/>
      <c r="S1334" s="103"/>
      <c r="T1334" s="103"/>
      <c r="U1334" s="103"/>
      <c r="V1334" s="103"/>
      <c r="W1334" s="103"/>
      <c r="X1334" s="103"/>
      <c r="Y1334" s="103"/>
      <c r="Z1334" s="103"/>
      <c r="AA1334" s="103"/>
      <c r="AB1334" s="103"/>
      <c r="AC1334" s="103"/>
      <c r="AD1334" s="103"/>
      <c r="AE1334" s="103"/>
      <c r="AF1334" s="103"/>
      <c r="AG1334" s="103">
        <v>401</v>
      </c>
      <c r="AH1334" s="103"/>
      <c r="AI1334" s="103"/>
      <c r="AJ1334" s="103"/>
      <c r="AK1334" s="103"/>
      <c r="AL1334" s="103"/>
      <c r="AM1334" s="103"/>
      <c r="AN1334" s="103"/>
      <c r="AO1334" s="103"/>
      <c r="AP1334" s="103"/>
      <c r="AQ1334" s="103"/>
      <c r="AR1334" s="103"/>
      <c r="AS1334" s="103">
        <v>401</v>
      </c>
      <c r="AT1334" s="103"/>
      <c r="AU1334" s="103"/>
      <c r="AV1334" s="103"/>
      <c r="AW1334" s="104" t="str">
        <f>HYPERLINK("http://www.openstreetmap.org/?mlat=36.0217&amp;mlon=43.2728&amp;zoom=12#map=12/36.0217/43.2728","Maplink1")</f>
        <v>Maplink1</v>
      </c>
      <c r="AX1334" s="104" t="str">
        <f>HYPERLINK("https://www.google.iq/maps/search/+36.0217,43.2728/@36.0217,43.2728,14z?hl=en","Maplink2")</f>
        <v>Maplink2</v>
      </c>
      <c r="AY1334" s="104" t="str">
        <f>HYPERLINK("http://www.bing.com/maps/?lvl=14&amp;sty=h&amp;cp=36.0217~43.2728&amp;sp=point.36.0217_43.2728","Maplink3")</f>
        <v>Maplink3</v>
      </c>
    </row>
    <row r="1335" spans="1:51" x14ac:dyDescent="0.2">
      <c r="A1335" s="102">
        <v>31775</v>
      </c>
      <c r="B1335" s="103" t="s">
        <v>35</v>
      </c>
      <c r="C1335" s="103" t="s">
        <v>102</v>
      </c>
      <c r="D1335" s="103" t="s">
        <v>2343</v>
      </c>
      <c r="E1335" s="103" t="s">
        <v>2344</v>
      </c>
      <c r="F1335" s="103">
        <v>36.191469143200003</v>
      </c>
      <c r="G1335" s="103">
        <v>43.207139964500001</v>
      </c>
      <c r="H1335" s="102">
        <v>3000</v>
      </c>
      <c r="I1335" s="102">
        <v>18000</v>
      </c>
      <c r="J1335" s="103"/>
      <c r="K1335" s="103"/>
      <c r="L1335" s="103"/>
      <c r="M1335" s="103">
        <v>2530</v>
      </c>
      <c r="N1335" s="103">
        <v>470</v>
      </c>
      <c r="O1335" s="103"/>
      <c r="P1335" s="103"/>
      <c r="Q1335" s="103"/>
      <c r="R1335" s="103"/>
      <c r="S1335" s="103"/>
      <c r="T1335" s="103"/>
      <c r="U1335" s="103"/>
      <c r="V1335" s="103"/>
      <c r="W1335" s="103"/>
      <c r="X1335" s="103"/>
      <c r="Y1335" s="103"/>
      <c r="Z1335" s="103"/>
      <c r="AA1335" s="103"/>
      <c r="AB1335" s="103"/>
      <c r="AC1335" s="103"/>
      <c r="AD1335" s="103"/>
      <c r="AE1335" s="103"/>
      <c r="AF1335" s="103"/>
      <c r="AG1335" s="103">
        <v>3000</v>
      </c>
      <c r="AH1335" s="103"/>
      <c r="AI1335" s="103"/>
      <c r="AJ1335" s="103"/>
      <c r="AK1335" s="103"/>
      <c r="AL1335" s="103"/>
      <c r="AM1335" s="103"/>
      <c r="AN1335" s="103"/>
      <c r="AO1335" s="103"/>
      <c r="AP1335" s="103"/>
      <c r="AQ1335" s="103"/>
      <c r="AR1335" s="103"/>
      <c r="AS1335" s="103">
        <v>3000</v>
      </c>
      <c r="AT1335" s="103"/>
      <c r="AU1335" s="103"/>
      <c r="AV1335" s="103"/>
      <c r="AW1335" s="104" t="str">
        <f>HYPERLINK("http://www.openstreetmap.org/?mlat=36.1915&amp;mlon=43.2071&amp;zoom=12#map=12/36.1915/43.2071","Maplink1")</f>
        <v>Maplink1</v>
      </c>
      <c r="AX1335" s="104" t="str">
        <f>HYPERLINK("https://www.google.iq/maps/search/+36.1915,43.2071/@36.1915,43.2071,14z?hl=en","Maplink2")</f>
        <v>Maplink2</v>
      </c>
      <c r="AY1335" s="104" t="str">
        <f>HYPERLINK("http://www.bing.com/maps/?lvl=14&amp;sty=h&amp;cp=36.1915~43.2071&amp;sp=point.36.1915_43.2071","Maplink3")</f>
        <v>Maplink3</v>
      </c>
    </row>
    <row r="1336" spans="1:51" x14ac:dyDescent="0.2">
      <c r="A1336" s="102">
        <v>31842</v>
      </c>
      <c r="B1336" s="103" t="s">
        <v>35</v>
      </c>
      <c r="C1336" s="103" t="s">
        <v>102</v>
      </c>
      <c r="D1336" s="103" t="s">
        <v>2345</v>
      </c>
      <c r="E1336" s="103" t="s">
        <v>2346</v>
      </c>
      <c r="F1336" s="103">
        <v>35.733158815499998</v>
      </c>
      <c r="G1336" s="103">
        <v>43.322091931499997</v>
      </c>
      <c r="H1336" s="102">
        <v>300</v>
      </c>
      <c r="I1336" s="102">
        <v>1800</v>
      </c>
      <c r="J1336" s="103"/>
      <c r="K1336" s="103"/>
      <c r="L1336" s="103"/>
      <c r="M1336" s="103">
        <v>290</v>
      </c>
      <c r="N1336" s="103">
        <v>10</v>
      </c>
      <c r="O1336" s="103"/>
      <c r="P1336" s="103"/>
      <c r="Q1336" s="103"/>
      <c r="R1336" s="103"/>
      <c r="S1336" s="103"/>
      <c r="T1336" s="103"/>
      <c r="U1336" s="103"/>
      <c r="V1336" s="103"/>
      <c r="W1336" s="103"/>
      <c r="X1336" s="103"/>
      <c r="Y1336" s="103"/>
      <c r="Z1336" s="103"/>
      <c r="AA1336" s="103">
        <v>284</v>
      </c>
      <c r="AB1336" s="103"/>
      <c r="AC1336" s="103">
        <v>6</v>
      </c>
      <c r="AD1336" s="103"/>
      <c r="AE1336" s="103"/>
      <c r="AF1336" s="103"/>
      <c r="AG1336" s="103">
        <v>10</v>
      </c>
      <c r="AH1336" s="103"/>
      <c r="AI1336" s="103"/>
      <c r="AJ1336" s="103"/>
      <c r="AK1336" s="103"/>
      <c r="AL1336" s="103"/>
      <c r="AM1336" s="103"/>
      <c r="AN1336" s="103"/>
      <c r="AO1336" s="103"/>
      <c r="AP1336" s="103">
        <v>44</v>
      </c>
      <c r="AQ1336" s="103"/>
      <c r="AR1336" s="103">
        <v>249</v>
      </c>
      <c r="AS1336" s="103">
        <v>7</v>
      </c>
      <c r="AT1336" s="103"/>
      <c r="AU1336" s="103"/>
      <c r="AV1336" s="103"/>
      <c r="AW1336" s="104" t="str">
        <f>HYPERLINK("http://www.openstreetmap.org/?mlat=35.7332&amp;mlon=43.3221&amp;zoom=12#map=12/35.7332/43.3221","Maplink1")</f>
        <v>Maplink1</v>
      </c>
      <c r="AX1336" s="104" t="str">
        <f>HYPERLINK("https://www.google.iq/maps/search/+35.7332,43.3221/@35.7332,43.3221,14z?hl=en","Maplink2")</f>
        <v>Maplink2</v>
      </c>
      <c r="AY1336" s="104" t="str">
        <f>HYPERLINK("http://www.bing.com/maps/?lvl=14&amp;sty=h&amp;cp=35.7332~43.3221&amp;sp=point.35.7332_43.3221","Maplink3")</f>
        <v>Maplink3</v>
      </c>
    </row>
    <row r="1337" spans="1:51" x14ac:dyDescent="0.2">
      <c r="A1337" s="102">
        <v>17431</v>
      </c>
      <c r="B1337" s="103" t="s">
        <v>35</v>
      </c>
      <c r="C1337" s="103" t="s">
        <v>102</v>
      </c>
      <c r="D1337" s="103" t="s">
        <v>2347</v>
      </c>
      <c r="E1337" s="103" t="s">
        <v>2348</v>
      </c>
      <c r="F1337" s="103">
        <v>36.197212</v>
      </c>
      <c r="G1337" s="103">
        <v>43.079261020499999</v>
      </c>
      <c r="H1337" s="102">
        <v>104</v>
      </c>
      <c r="I1337" s="102">
        <v>624</v>
      </c>
      <c r="J1337" s="103"/>
      <c r="K1337" s="103"/>
      <c r="L1337" s="103"/>
      <c r="M1337" s="103">
        <v>84</v>
      </c>
      <c r="N1337" s="103">
        <v>20</v>
      </c>
      <c r="O1337" s="103"/>
      <c r="P1337" s="103"/>
      <c r="Q1337" s="103"/>
      <c r="R1337" s="103"/>
      <c r="S1337" s="103"/>
      <c r="T1337" s="103"/>
      <c r="U1337" s="103"/>
      <c r="V1337" s="103"/>
      <c r="W1337" s="103"/>
      <c r="X1337" s="103"/>
      <c r="Y1337" s="103"/>
      <c r="Z1337" s="103"/>
      <c r="AA1337" s="103"/>
      <c r="AB1337" s="103"/>
      <c r="AC1337" s="103"/>
      <c r="AD1337" s="103"/>
      <c r="AE1337" s="103"/>
      <c r="AF1337" s="103"/>
      <c r="AG1337" s="103">
        <v>104</v>
      </c>
      <c r="AH1337" s="103"/>
      <c r="AI1337" s="103"/>
      <c r="AJ1337" s="103"/>
      <c r="AK1337" s="103"/>
      <c r="AL1337" s="103"/>
      <c r="AM1337" s="103"/>
      <c r="AN1337" s="103"/>
      <c r="AO1337" s="103"/>
      <c r="AP1337" s="103"/>
      <c r="AQ1337" s="103"/>
      <c r="AR1337" s="103"/>
      <c r="AS1337" s="103">
        <v>104</v>
      </c>
      <c r="AT1337" s="103"/>
      <c r="AU1337" s="103"/>
      <c r="AV1337" s="103"/>
      <c r="AW1337" s="104" t="str">
        <f>HYPERLINK("http://www.openstreetmap.org/?mlat=36.1972&amp;mlon=43.0793&amp;zoom=12#map=12/36.1972/43.0793","Maplink1")</f>
        <v>Maplink1</v>
      </c>
      <c r="AX1337" s="104" t="str">
        <f>HYPERLINK("https://www.google.iq/maps/search/+36.1972,43.0793/@36.1972,43.0793,14z?hl=en","Maplink2")</f>
        <v>Maplink2</v>
      </c>
      <c r="AY1337" s="104" t="str">
        <f>HYPERLINK("http://www.bing.com/maps/?lvl=14&amp;sty=h&amp;cp=36.1972~43.0793&amp;sp=point.36.1972_43.0793","Maplink3")</f>
        <v>Maplink3</v>
      </c>
    </row>
    <row r="1338" spans="1:51" x14ac:dyDescent="0.2">
      <c r="A1338" s="102">
        <v>33174</v>
      </c>
      <c r="B1338" s="103" t="s">
        <v>35</v>
      </c>
      <c r="C1338" s="103" t="s">
        <v>102</v>
      </c>
      <c r="D1338" s="103" t="s">
        <v>2349</v>
      </c>
      <c r="E1338" s="103" t="s">
        <v>2350</v>
      </c>
      <c r="F1338" s="103">
        <v>36.412191999999997</v>
      </c>
      <c r="G1338" s="103">
        <v>42.968727907599998</v>
      </c>
      <c r="H1338" s="102">
        <v>1203</v>
      </c>
      <c r="I1338" s="102">
        <v>7218</v>
      </c>
      <c r="J1338" s="103"/>
      <c r="K1338" s="103"/>
      <c r="L1338" s="103"/>
      <c r="M1338" s="103">
        <v>1173</v>
      </c>
      <c r="N1338" s="103">
        <v>30</v>
      </c>
      <c r="O1338" s="103"/>
      <c r="P1338" s="103"/>
      <c r="Q1338" s="103"/>
      <c r="R1338" s="103"/>
      <c r="S1338" s="103"/>
      <c r="T1338" s="103"/>
      <c r="U1338" s="103"/>
      <c r="V1338" s="103"/>
      <c r="W1338" s="103"/>
      <c r="X1338" s="103"/>
      <c r="Y1338" s="103"/>
      <c r="Z1338" s="103"/>
      <c r="AA1338" s="103"/>
      <c r="AB1338" s="103"/>
      <c r="AC1338" s="103"/>
      <c r="AD1338" s="103"/>
      <c r="AE1338" s="103"/>
      <c r="AF1338" s="103"/>
      <c r="AG1338" s="103">
        <v>1203</v>
      </c>
      <c r="AH1338" s="103"/>
      <c r="AI1338" s="103"/>
      <c r="AJ1338" s="103"/>
      <c r="AK1338" s="103"/>
      <c r="AL1338" s="103"/>
      <c r="AM1338" s="103"/>
      <c r="AN1338" s="103"/>
      <c r="AO1338" s="103"/>
      <c r="AP1338" s="103"/>
      <c r="AQ1338" s="103"/>
      <c r="AR1338" s="103"/>
      <c r="AS1338" s="103">
        <v>1203</v>
      </c>
      <c r="AT1338" s="103"/>
      <c r="AU1338" s="103"/>
      <c r="AV1338" s="103"/>
      <c r="AW1338" s="104" t="str">
        <f>HYPERLINK("http://www.openstreetmap.org/?mlat=36.4122&amp;mlon=42.9687&amp;zoom=12#map=12/36.4122/42.9687","Maplink1")</f>
        <v>Maplink1</v>
      </c>
      <c r="AX1338" s="104" t="str">
        <f>HYPERLINK("https://www.google.iq/maps/search/+36.4122,42.9687/@36.4122,42.9687,14z?hl=en","Maplink2")</f>
        <v>Maplink2</v>
      </c>
      <c r="AY1338" s="104" t="str">
        <f>HYPERLINK("http://www.bing.com/maps/?lvl=14&amp;sty=h&amp;cp=36.4122~42.9687&amp;sp=point.36.4122_42.9687","Maplink3")</f>
        <v>Maplink3</v>
      </c>
    </row>
    <row r="1339" spans="1:51" x14ac:dyDescent="0.2">
      <c r="A1339" s="102">
        <v>33235</v>
      </c>
      <c r="B1339" s="103" t="s">
        <v>35</v>
      </c>
      <c r="C1339" s="103" t="s">
        <v>102</v>
      </c>
      <c r="D1339" s="103" t="s">
        <v>2351</v>
      </c>
      <c r="E1339" s="103" t="s">
        <v>2352</v>
      </c>
      <c r="F1339" s="103">
        <v>36.430990000000001</v>
      </c>
      <c r="G1339" s="103">
        <v>42.839742427600001</v>
      </c>
      <c r="H1339" s="102">
        <v>95</v>
      </c>
      <c r="I1339" s="102">
        <v>570</v>
      </c>
      <c r="J1339" s="103"/>
      <c r="K1339" s="103"/>
      <c r="L1339" s="103"/>
      <c r="M1339" s="103">
        <v>84</v>
      </c>
      <c r="N1339" s="103">
        <v>11</v>
      </c>
      <c r="O1339" s="103"/>
      <c r="P1339" s="103"/>
      <c r="Q1339" s="103"/>
      <c r="R1339" s="103"/>
      <c r="S1339" s="103"/>
      <c r="T1339" s="103"/>
      <c r="U1339" s="103"/>
      <c r="V1339" s="103"/>
      <c r="W1339" s="103"/>
      <c r="X1339" s="103"/>
      <c r="Y1339" s="103"/>
      <c r="Z1339" s="103"/>
      <c r="AA1339" s="103"/>
      <c r="AB1339" s="103"/>
      <c r="AC1339" s="103"/>
      <c r="AD1339" s="103"/>
      <c r="AE1339" s="103"/>
      <c r="AF1339" s="103"/>
      <c r="AG1339" s="103">
        <v>95</v>
      </c>
      <c r="AH1339" s="103"/>
      <c r="AI1339" s="103"/>
      <c r="AJ1339" s="103"/>
      <c r="AK1339" s="103"/>
      <c r="AL1339" s="103"/>
      <c r="AM1339" s="103"/>
      <c r="AN1339" s="103"/>
      <c r="AO1339" s="103"/>
      <c r="AP1339" s="103"/>
      <c r="AQ1339" s="103"/>
      <c r="AR1339" s="103"/>
      <c r="AS1339" s="103">
        <v>95</v>
      </c>
      <c r="AT1339" s="103"/>
      <c r="AU1339" s="103"/>
      <c r="AV1339" s="103"/>
      <c r="AW1339" s="104" t="str">
        <f>HYPERLINK("http://www.openstreetmap.org/?mlat=36.431&amp;mlon=42.8397&amp;zoom=12#map=12/36.431/42.8397","Maplink1")</f>
        <v>Maplink1</v>
      </c>
      <c r="AX1339" s="104" t="str">
        <f>HYPERLINK("https://www.google.iq/maps/search/+36.431,42.8397/@36.431,42.8397,14z?hl=en","Maplink2")</f>
        <v>Maplink2</v>
      </c>
      <c r="AY1339" s="104" t="str">
        <f>HYPERLINK("http://www.bing.com/maps/?lvl=14&amp;sty=h&amp;cp=36.431~42.8397&amp;sp=point.36.431_42.8397","Maplink3")</f>
        <v>Maplink3</v>
      </c>
    </row>
    <row r="1340" spans="1:51" x14ac:dyDescent="0.2">
      <c r="A1340" s="102">
        <v>33271</v>
      </c>
      <c r="B1340" s="103" t="s">
        <v>35</v>
      </c>
      <c r="C1340" s="103" t="s">
        <v>102</v>
      </c>
      <c r="D1340" s="103" t="s">
        <v>2333</v>
      </c>
      <c r="E1340" s="103" t="s">
        <v>2334</v>
      </c>
      <c r="F1340" s="103">
        <v>36.434419800000001</v>
      </c>
      <c r="G1340" s="103">
        <v>42.949012080000003</v>
      </c>
      <c r="H1340" s="102">
        <v>385</v>
      </c>
      <c r="I1340" s="102">
        <v>2310</v>
      </c>
      <c r="J1340" s="103"/>
      <c r="K1340" s="103"/>
      <c r="L1340" s="103"/>
      <c r="M1340" s="103">
        <v>374</v>
      </c>
      <c r="N1340" s="103">
        <v>11</v>
      </c>
      <c r="O1340" s="103"/>
      <c r="P1340" s="103"/>
      <c r="Q1340" s="103"/>
      <c r="R1340" s="103"/>
      <c r="S1340" s="103"/>
      <c r="T1340" s="103"/>
      <c r="U1340" s="103"/>
      <c r="V1340" s="103"/>
      <c r="W1340" s="103"/>
      <c r="X1340" s="103"/>
      <c r="Y1340" s="103"/>
      <c r="Z1340" s="103"/>
      <c r="AA1340" s="103"/>
      <c r="AB1340" s="103"/>
      <c r="AC1340" s="103"/>
      <c r="AD1340" s="103"/>
      <c r="AE1340" s="103"/>
      <c r="AF1340" s="103"/>
      <c r="AG1340" s="103">
        <v>385</v>
      </c>
      <c r="AH1340" s="103"/>
      <c r="AI1340" s="103"/>
      <c r="AJ1340" s="103"/>
      <c r="AK1340" s="103"/>
      <c r="AL1340" s="103"/>
      <c r="AM1340" s="103"/>
      <c r="AN1340" s="103"/>
      <c r="AO1340" s="103"/>
      <c r="AP1340" s="103"/>
      <c r="AQ1340" s="103"/>
      <c r="AR1340" s="103"/>
      <c r="AS1340" s="103"/>
      <c r="AT1340" s="103">
        <v>385</v>
      </c>
      <c r="AU1340" s="103"/>
      <c r="AV1340" s="103"/>
      <c r="AW1340" s="104" t="str">
        <f>HYPERLINK("http://www.openstreetmap.org/?mlat=36.4344&amp;mlon=42.949&amp;zoom=12#map=12/36.4344/42.949","Maplink1")</f>
        <v>Maplink1</v>
      </c>
      <c r="AX1340" s="104" t="str">
        <f>HYPERLINK("https://www.google.iq/maps/search/+36.4344,42.949/@36.4344,42.949,14z?hl=en","Maplink2")</f>
        <v>Maplink2</v>
      </c>
      <c r="AY1340" s="104" t="str">
        <f>HYPERLINK("http://www.bing.com/maps/?lvl=14&amp;sty=h&amp;cp=36.4344~42.949&amp;sp=point.36.4344_42.949","Maplink3")</f>
        <v>Maplink3</v>
      </c>
    </row>
    <row r="1341" spans="1:51" x14ac:dyDescent="0.2">
      <c r="A1341" s="102">
        <v>33493</v>
      </c>
      <c r="B1341" s="103" t="s">
        <v>35</v>
      </c>
      <c r="C1341" s="103" t="s">
        <v>102</v>
      </c>
      <c r="D1341" s="103" t="s">
        <v>2335</v>
      </c>
      <c r="E1341" s="103" t="s">
        <v>2336</v>
      </c>
      <c r="F1341" s="103">
        <v>35.833154999999998</v>
      </c>
      <c r="G1341" s="103">
        <v>43.163141962099999</v>
      </c>
      <c r="H1341" s="102">
        <v>11</v>
      </c>
      <c r="I1341" s="102">
        <v>66</v>
      </c>
      <c r="J1341" s="103"/>
      <c r="K1341" s="103"/>
      <c r="L1341" s="103"/>
      <c r="M1341" s="103">
        <v>11</v>
      </c>
      <c r="N1341" s="103"/>
      <c r="O1341" s="103"/>
      <c r="P1341" s="103"/>
      <c r="Q1341" s="103"/>
      <c r="R1341" s="103"/>
      <c r="S1341" s="103"/>
      <c r="T1341" s="103"/>
      <c r="U1341" s="103"/>
      <c r="V1341" s="103"/>
      <c r="W1341" s="103">
        <v>4</v>
      </c>
      <c r="X1341" s="103"/>
      <c r="Y1341" s="103"/>
      <c r="Z1341" s="103"/>
      <c r="AA1341" s="103"/>
      <c r="AB1341" s="103"/>
      <c r="AC1341" s="103"/>
      <c r="AD1341" s="103"/>
      <c r="AE1341" s="103"/>
      <c r="AF1341" s="103"/>
      <c r="AG1341" s="103">
        <v>7</v>
      </c>
      <c r="AH1341" s="103"/>
      <c r="AI1341" s="103"/>
      <c r="AJ1341" s="103"/>
      <c r="AK1341" s="103"/>
      <c r="AL1341" s="103"/>
      <c r="AM1341" s="103"/>
      <c r="AN1341" s="103"/>
      <c r="AO1341" s="103"/>
      <c r="AP1341" s="103"/>
      <c r="AQ1341" s="103"/>
      <c r="AR1341" s="103">
        <v>11</v>
      </c>
      <c r="AS1341" s="103"/>
      <c r="AT1341" s="103"/>
      <c r="AU1341" s="103"/>
      <c r="AV1341" s="103"/>
      <c r="AW1341" s="104" t="str">
        <f>HYPERLINK("http://www.openstreetmap.org/?mlat=35.8332&amp;mlon=43.1631&amp;zoom=12#map=12/35.8332/43.1631","Maplink1")</f>
        <v>Maplink1</v>
      </c>
      <c r="AX1341" s="104" t="str">
        <f>HYPERLINK("https://www.google.iq/maps/search/+35.8332,43.1631/@35.8332,43.1631,14z?hl=en","Maplink2")</f>
        <v>Maplink2</v>
      </c>
      <c r="AY1341" s="104" t="str">
        <f>HYPERLINK("http://www.bing.com/maps/?lvl=14&amp;sty=h&amp;cp=35.8332~43.1631&amp;sp=point.35.8332_43.1631","Maplink3")</f>
        <v>Maplink3</v>
      </c>
    </row>
    <row r="1342" spans="1:51" x14ac:dyDescent="0.2">
      <c r="A1342" s="102">
        <v>18336</v>
      </c>
      <c r="B1342" s="103" t="s">
        <v>35</v>
      </c>
      <c r="C1342" s="103" t="s">
        <v>102</v>
      </c>
      <c r="D1342" s="103" t="s">
        <v>2508</v>
      </c>
      <c r="E1342" s="103" t="s">
        <v>2509</v>
      </c>
      <c r="F1342" s="103">
        <v>36.358470120299998</v>
      </c>
      <c r="G1342" s="103">
        <v>43.1860369276</v>
      </c>
      <c r="H1342" s="102">
        <v>1835</v>
      </c>
      <c r="I1342" s="102">
        <v>11010</v>
      </c>
      <c r="J1342" s="103"/>
      <c r="K1342" s="103"/>
      <c r="L1342" s="103"/>
      <c r="M1342" s="103">
        <v>1835</v>
      </c>
      <c r="N1342" s="103"/>
      <c r="O1342" s="103"/>
      <c r="P1342" s="103"/>
      <c r="Q1342" s="103"/>
      <c r="R1342" s="103"/>
      <c r="S1342" s="103"/>
      <c r="T1342" s="103"/>
      <c r="U1342" s="103"/>
      <c r="V1342" s="103"/>
      <c r="W1342" s="103">
        <v>183</v>
      </c>
      <c r="X1342" s="103"/>
      <c r="Y1342" s="103">
        <v>79</v>
      </c>
      <c r="Z1342" s="103"/>
      <c r="AA1342" s="103">
        <v>136</v>
      </c>
      <c r="AB1342" s="103"/>
      <c r="AC1342" s="103"/>
      <c r="AD1342" s="103"/>
      <c r="AE1342" s="103"/>
      <c r="AF1342" s="103"/>
      <c r="AG1342" s="103">
        <v>1387</v>
      </c>
      <c r="AH1342" s="103"/>
      <c r="AI1342" s="103"/>
      <c r="AJ1342" s="103">
        <v>50</v>
      </c>
      <c r="AK1342" s="103"/>
      <c r="AL1342" s="103"/>
      <c r="AM1342" s="103"/>
      <c r="AN1342" s="103">
        <v>448</v>
      </c>
      <c r="AO1342" s="103"/>
      <c r="AP1342" s="103"/>
      <c r="AQ1342" s="103"/>
      <c r="AR1342" s="103"/>
      <c r="AS1342" s="103">
        <v>1387</v>
      </c>
      <c r="AT1342" s="103"/>
      <c r="AU1342" s="103"/>
      <c r="AV1342" s="103"/>
      <c r="AW1342" s="104" t="str">
        <f>HYPERLINK("http://www.openstreetmap.org/?mlat=36.3585&amp;mlon=43.186&amp;zoom=12#map=12/36.3585/43.186","Maplink1")</f>
        <v>Maplink1</v>
      </c>
      <c r="AX1342" s="104" t="str">
        <f>HYPERLINK("https://www.google.iq/maps/search/+36.3585,43.186/@36.3585,43.186,14z?hl=en","Maplink2")</f>
        <v>Maplink2</v>
      </c>
      <c r="AY1342" s="104" t="str">
        <f>HYPERLINK("http://www.bing.com/maps/?lvl=14&amp;sty=h&amp;cp=36.3585~43.186&amp;sp=point.36.3585_43.186","Maplink3")</f>
        <v>Maplink3</v>
      </c>
    </row>
    <row r="1343" spans="1:51" x14ac:dyDescent="0.2">
      <c r="A1343" s="102">
        <v>18367</v>
      </c>
      <c r="B1343" s="103" t="s">
        <v>35</v>
      </c>
      <c r="C1343" s="103" t="s">
        <v>102</v>
      </c>
      <c r="D1343" s="103" t="s">
        <v>1972</v>
      </c>
      <c r="E1343" s="103" t="s">
        <v>2510</v>
      </c>
      <c r="F1343" s="103">
        <v>36.338086788799998</v>
      </c>
      <c r="G1343" s="103">
        <v>43.083327175299999</v>
      </c>
      <c r="H1343" s="102">
        <v>2367</v>
      </c>
      <c r="I1343" s="102">
        <v>14202</v>
      </c>
      <c r="J1343" s="103"/>
      <c r="K1343" s="103"/>
      <c r="L1343" s="103"/>
      <c r="M1343" s="103">
        <v>2367</v>
      </c>
      <c r="N1343" s="103"/>
      <c r="O1343" s="103"/>
      <c r="P1343" s="103"/>
      <c r="Q1343" s="103"/>
      <c r="R1343" s="103"/>
      <c r="S1343" s="103"/>
      <c r="T1343" s="103"/>
      <c r="U1343" s="103"/>
      <c r="V1343" s="103"/>
      <c r="W1343" s="103"/>
      <c r="X1343" s="103"/>
      <c r="Y1343" s="103">
        <v>132</v>
      </c>
      <c r="Z1343" s="103"/>
      <c r="AA1343" s="103"/>
      <c r="AB1343" s="103"/>
      <c r="AC1343" s="103"/>
      <c r="AD1343" s="103"/>
      <c r="AE1343" s="103"/>
      <c r="AF1343" s="103"/>
      <c r="AG1343" s="103">
        <v>2235</v>
      </c>
      <c r="AH1343" s="103"/>
      <c r="AI1343" s="103"/>
      <c r="AJ1343" s="103"/>
      <c r="AK1343" s="103"/>
      <c r="AL1343" s="103"/>
      <c r="AM1343" s="103"/>
      <c r="AN1343" s="103">
        <v>132</v>
      </c>
      <c r="AO1343" s="103"/>
      <c r="AP1343" s="103"/>
      <c r="AQ1343" s="103"/>
      <c r="AR1343" s="103"/>
      <c r="AS1343" s="103">
        <v>2235</v>
      </c>
      <c r="AT1343" s="103"/>
      <c r="AU1343" s="103"/>
      <c r="AV1343" s="103"/>
      <c r="AW1343" s="104" t="str">
        <f>HYPERLINK("http://www.openstreetmap.org/?mlat=36.3381&amp;mlon=43.0833&amp;zoom=12#map=12/36.3381/43.0833","Maplink1")</f>
        <v>Maplink1</v>
      </c>
      <c r="AX1343" s="104" t="str">
        <f>HYPERLINK("https://www.google.iq/maps/search/+36.3381,43.0833/@36.3381,43.0833,14z?hl=en","Maplink2")</f>
        <v>Maplink2</v>
      </c>
      <c r="AY1343" s="104" t="str">
        <f>HYPERLINK("http://www.bing.com/maps/?lvl=14&amp;sty=h&amp;cp=36.3381~43.0833&amp;sp=point.36.3381_43.0833","Maplink3")</f>
        <v>Maplink3</v>
      </c>
    </row>
    <row r="1344" spans="1:51" x14ac:dyDescent="0.2">
      <c r="A1344" s="102">
        <v>17414</v>
      </c>
      <c r="B1344" s="103" t="s">
        <v>35</v>
      </c>
      <c r="C1344" s="103" t="s">
        <v>102</v>
      </c>
      <c r="D1344" s="103" t="s">
        <v>2511</v>
      </c>
      <c r="E1344" s="103" t="s">
        <v>2512</v>
      </c>
      <c r="F1344" s="103">
        <v>36.324696935699997</v>
      </c>
      <c r="G1344" s="103">
        <v>42.840522297</v>
      </c>
      <c r="H1344" s="102">
        <v>965</v>
      </c>
      <c r="I1344" s="102">
        <v>5790</v>
      </c>
      <c r="J1344" s="103"/>
      <c r="K1344" s="103"/>
      <c r="L1344" s="103"/>
      <c r="M1344" s="103">
        <v>750</v>
      </c>
      <c r="N1344" s="103">
        <v>215</v>
      </c>
      <c r="O1344" s="103"/>
      <c r="P1344" s="103"/>
      <c r="Q1344" s="103"/>
      <c r="R1344" s="103"/>
      <c r="S1344" s="103"/>
      <c r="T1344" s="103"/>
      <c r="U1344" s="103"/>
      <c r="V1344" s="103"/>
      <c r="W1344" s="103"/>
      <c r="X1344" s="103"/>
      <c r="Y1344" s="103"/>
      <c r="Z1344" s="103"/>
      <c r="AA1344" s="103"/>
      <c r="AB1344" s="103"/>
      <c r="AC1344" s="103"/>
      <c r="AD1344" s="103"/>
      <c r="AE1344" s="103"/>
      <c r="AF1344" s="103"/>
      <c r="AG1344" s="103">
        <v>965</v>
      </c>
      <c r="AH1344" s="103"/>
      <c r="AI1344" s="103"/>
      <c r="AJ1344" s="103"/>
      <c r="AK1344" s="103"/>
      <c r="AL1344" s="103"/>
      <c r="AM1344" s="103"/>
      <c r="AN1344" s="103"/>
      <c r="AO1344" s="103"/>
      <c r="AP1344" s="103"/>
      <c r="AQ1344" s="103"/>
      <c r="AR1344" s="103">
        <v>965</v>
      </c>
      <c r="AS1344" s="103"/>
      <c r="AT1344" s="103"/>
      <c r="AU1344" s="103"/>
      <c r="AV1344" s="103"/>
      <c r="AW1344" s="104" t="str">
        <f>HYPERLINK("http://www.openstreetmap.org/?mlat=36.3247&amp;mlon=42.8405&amp;zoom=12#map=12/36.3247/42.8405","Maplink1")</f>
        <v>Maplink1</v>
      </c>
      <c r="AX1344" s="104" t="str">
        <f>HYPERLINK("https://www.google.iq/maps/search/+36.3247,42.8405/@36.3247,42.8405,14z?hl=en","Maplink2")</f>
        <v>Maplink2</v>
      </c>
      <c r="AY1344" s="104" t="str">
        <f>HYPERLINK("http://www.bing.com/maps/?lvl=14&amp;sty=h&amp;cp=36.3247~42.8405&amp;sp=point.36.3247_42.8405","Maplink3")</f>
        <v>Maplink3</v>
      </c>
    </row>
    <row r="1345" spans="1:51" x14ac:dyDescent="0.2">
      <c r="A1345" s="102">
        <v>17902</v>
      </c>
      <c r="B1345" s="103" t="s">
        <v>35</v>
      </c>
      <c r="C1345" s="103" t="s">
        <v>102</v>
      </c>
      <c r="D1345" s="103" t="s">
        <v>2513</v>
      </c>
      <c r="E1345" s="103" t="s">
        <v>2514</v>
      </c>
      <c r="F1345" s="103">
        <v>36.045357637999999</v>
      </c>
      <c r="G1345" s="103">
        <v>43.311316998499997</v>
      </c>
      <c r="H1345" s="102">
        <v>150</v>
      </c>
      <c r="I1345" s="102">
        <v>900</v>
      </c>
      <c r="J1345" s="103"/>
      <c r="K1345" s="103"/>
      <c r="L1345" s="103"/>
      <c r="M1345" s="103">
        <v>150</v>
      </c>
      <c r="N1345" s="103"/>
      <c r="O1345" s="103"/>
      <c r="P1345" s="103"/>
      <c r="Q1345" s="103"/>
      <c r="R1345" s="103"/>
      <c r="S1345" s="103"/>
      <c r="T1345" s="103"/>
      <c r="U1345" s="103"/>
      <c r="V1345" s="103"/>
      <c r="W1345" s="103"/>
      <c r="X1345" s="103"/>
      <c r="Y1345" s="103"/>
      <c r="Z1345" s="103"/>
      <c r="AA1345" s="103">
        <v>1</v>
      </c>
      <c r="AB1345" s="103"/>
      <c r="AC1345" s="103">
        <v>2</v>
      </c>
      <c r="AD1345" s="103"/>
      <c r="AE1345" s="103"/>
      <c r="AF1345" s="103"/>
      <c r="AG1345" s="103">
        <v>147</v>
      </c>
      <c r="AH1345" s="103"/>
      <c r="AI1345" s="103"/>
      <c r="AJ1345" s="103"/>
      <c r="AK1345" s="103"/>
      <c r="AL1345" s="103"/>
      <c r="AM1345" s="103"/>
      <c r="AN1345" s="103"/>
      <c r="AO1345" s="103"/>
      <c r="AP1345" s="103"/>
      <c r="AQ1345" s="103"/>
      <c r="AR1345" s="103"/>
      <c r="AS1345" s="103">
        <v>150</v>
      </c>
      <c r="AT1345" s="103"/>
      <c r="AU1345" s="103"/>
      <c r="AV1345" s="103"/>
      <c r="AW1345" s="104" t="str">
        <f>HYPERLINK("http://www.openstreetmap.org/?mlat=36.0454&amp;mlon=43.3113&amp;zoom=12#map=12/36.0454/43.3113","Maplink1")</f>
        <v>Maplink1</v>
      </c>
      <c r="AX1345" s="104" t="str">
        <f>HYPERLINK("https://www.google.iq/maps/search/+36.0454,43.3113/@36.0454,43.3113,14z?hl=en","Maplink2")</f>
        <v>Maplink2</v>
      </c>
      <c r="AY1345" s="104" t="str">
        <f>HYPERLINK("http://www.bing.com/maps/?lvl=14&amp;sty=h&amp;cp=36.0454~43.3113&amp;sp=point.36.0454_43.3113","Maplink3")</f>
        <v>Maplink3</v>
      </c>
    </row>
    <row r="1346" spans="1:51" x14ac:dyDescent="0.2">
      <c r="A1346" s="102">
        <v>31941</v>
      </c>
      <c r="B1346" s="103" t="s">
        <v>35</v>
      </c>
      <c r="C1346" s="103" t="s">
        <v>102</v>
      </c>
      <c r="D1346" s="103" t="s">
        <v>2515</v>
      </c>
      <c r="E1346" s="103" t="s">
        <v>2516</v>
      </c>
      <c r="F1346" s="103">
        <v>35.891902000000002</v>
      </c>
      <c r="G1346" s="103">
        <v>43.014943000000002</v>
      </c>
      <c r="H1346" s="102">
        <v>6</v>
      </c>
      <c r="I1346" s="102">
        <v>36</v>
      </c>
      <c r="J1346" s="103"/>
      <c r="K1346" s="103"/>
      <c r="L1346" s="103"/>
      <c r="M1346" s="103">
        <v>6</v>
      </c>
      <c r="N1346" s="103"/>
      <c r="O1346" s="103"/>
      <c r="P1346" s="103"/>
      <c r="Q1346" s="103"/>
      <c r="R1346" s="103"/>
      <c r="S1346" s="103"/>
      <c r="T1346" s="103"/>
      <c r="U1346" s="103"/>
      <c r="V1346" s="103"/>
      <c r="W1346" s="103"/>
      <c r="X1346" s="103"/>
      <c r="Y1346" s="103"/>
      <c r="Z1346" s="103"/>
      <c r="AA1346" s="103"/>
      <c r="AB1346" s="103"/>
      <c r="AC1346" s="103"/>
      <c r="AD1346" s="103"/>
      <c r="AE1346" s="103"/>
      <c r="AF1346" s="103"/>
      <c r="AG1346" s="103">
        <v>6</v>
      </c>
      <c r="AH1346" s="103"/>
      <c r="AI1346" s="103"/>
      <c r="AJ1346" s="103"/>
      <c r="AK1346" s="103"/>
      <c r="AL1346" s="103"/>
      <c r="AM1346" s="103"/>
      <c r="AN1346" s="103"/>
      <c r="AO1346" s="103"/>
      <c r="AP1346" s="103"/>
      <c r="AQ1346" s="103"/>
      <c r="AR1346" s="103"/>
      <c r="AS1346" s="103">
        <v>6</v>
      </c>
      <c r="AT1346" s="103"/>
      <c r="AU1346" s="103"/>
      <c r="AV1346" s="103"/>
      <c r="AW1346" s="104" t="str">
        <f>HYPERLINK("http://www.openstreetmap.org/?mlat=35.8919&amp;mlon=43.0149&amp;zoom=12#map=12/35.8919/43.0149","Maplink1")</f>
        <v>Maplink1</v>
      </c>
      <c r="AX1346" s="104" t="str">
        <f>HYPERLINK("https://www.google.iq/maps/search/+35.8919,43.0149/@35.8919,43.0149,14z?hl=en","Maplink2")</f>
        <v>Maplink2</v>
      </c>
      <c r="AY1346" s="104" t="str">
        <f>HYPERLINK("http://www.bing.com/maps/?lvl=14&amp;sty=h&amp;cp=35.8919~43.0149&amp;sp=point.35.8919_43.0149","Maplink3")</f>
        <v>Maplink3</v>
      </c>
    </row>
    <row r="1347" spans="1:51" x14ac:dyDescent="0.2">
      <c r="A1347" s="102">
        <v>33167</v>
      </c>
      <c r="B1347" s="103" t="s">
        <v>35</v>
      </c>
      <c r="C1347" s="103" t="s">
        <v>102</v>
      </c>
      <c r="D1347" s="103" t="s">
        <v>2517</v>
      </c>
      <c r="E1347" s="103" t="s">
        <v>2518</v>
      </c>
      <c r="F1347" s="103">
        <v>36.410550138200001</v>
      </c>
      <c r="G1347" s="103">
        <v>42.968574304900002</v>
      </c>
      <c r="H1347" s="102">
        <v>150</v>
      </c>
      <c r="I1347" s="102">
        <v>900</v>
      </c>
      <c r="J1347" s="103"/>
      <c r="K1347" s="103"/>
      <c r="L1347" s="103"/>
      <c r="M1347" s="103">
        <v>148</v>
      </c>
      <c r="N1347" s="103">
        <v>2</v>
      </c>
      <c r="O1347" s="103"/>
      <c r="P1347" s="103"/>
      <c r="Q1347" s="103"/>
      <c r="R1347" s="103"/>
      <c r="S1347" s="103"/>
      <c r="T1347" s="103"/>
      <c r="U1347" s="103"/>
      <c r="V1347" s="103"/>
      <c r="W1347" s="103"/>
      <c r="X1347" s="103"/>
      <c r="Y1347" s="103"/>
      <c r="Z1347" s="103"/>
      <c r="AA1347" s="103"/>
      <c r="AB1347" s="103"/>
      <c r="AC1347" s="103"/>
      <c r="AD1347" s="103"/>
      <c r="AE1347" s="103"/>
      <c r="AF1347" s="103"/>
      <c r="AG1347" s="103">
        <v>150</v>
      </c>
      <c r="AH1347" s="103"/>
      <c r="AI1347" s="103"/>
      <c r="AJ1347" s="103"/>
      <c r="AK1347" s="103"/>
      <c r="AL1347" s="103"/>
      <c r="AM1347" s="103"/>
      <c r="AN1347" s="103"/>
      <c r="AO1347" s="103"/>
      <c r="AP1347" s="103"/>
      <c r="AQ1347" s="103"/>
      <c r="AR1347" s="103"/>
      <c r="AS1347" s="103">
        <v>150</v>
      </c>
      <c r="AT1347" s="103"/>
      <c r="AU1347" s="103"/>
      <c r="AV1347" s="103"/>
      <c r="AW1347" s="104" t="str">
        <f>HYPERLINK("http://www.openstreetmap.org/?mlat=36.4106&amp;mlon=42.9686&amp;zoom=12#map=12/36.4106/42.9686","Maplink1")</f>
        <v>Maplink1</v>
      </c>
      <c r="AX1347" s="104" t="str">
        <f>HYPERLINK("https://www.google.iq/maps/search/+36.4106,42.9686/@36.4106,42.9686,14z?hl=en","Maplink2")</f>
        <v>Maplink2</v>
      </c>
      <c r="AY1347" s="104" t="str">
        <f>HYPERLINK("http://www.bing.com/maps/?lvl=14&amp;sty=h&amp;cp=36.4106~42.9686&amp;sp=point.36.4106_42.9686","Maplink3")</f>
        <v>Maplink3</v>
      </c>
    </row>
    <row r="1348" spans="1:51" x14ac:dyDescent="0.2">
      <c r="A1348" s="102">
        <v>18356</v>
      </c>
      <c r="B1348" s="103" t="s">
        <v>35</v>
      </c>
      <c r="C1348" s="103" t="s">
        <v>102</v>
      </c>
      <c r="D1348" s="103" t="s">
        <v>2629</v>
      </c>
      <c r="E1348" s="103" t="s">
        <v>2630</v>
      </c>
      <c r="F1348" s="103">
        <v>36.390944412300001</v>
      </c>
      <c r="G1348" s="103">
        <v>43.204468095899998</v>
      </c>
      <c r="H1348" s="102">
        <v>1159</v>
      </c>
      <c r="I1348" s="102">
        <v>6954</v>
      </c>
      <c r="J1348" s="103"/>
      <c r="K1348" s="103"/>
      <c r="L1348" s="103"/>
      <c r="M1348" s="103">
        <v>1159</v>
      </c>
      <c r="N1348" s="103"/>
      <c r="O1348" s="103"/>
      <c r="P1348" s="103"/>
      <c r="Q1348" s="103"/>
      <c r="R1348" s="103"/>
      <c r="S1348" s="103"/>
      <c r="T1348" s="103"/>
      <c r="U1348" s="103"/>
      <c r="V1348" s="103"/>
      <c r="W1348" s="103">
        <v>36</v>
      </c>
      <c r="X1348" s="103"/>
      <c r="Y1348" s="103">
        <v>48</v>
      </c>
      <c r="Z1348" s="103"/>
      <c r="AA1348" s="103">
        <v>90</v>
      </c>
      <c r="AB1348" s="103"/>
      <c r="AC1348" s="103">
        <v>23</v>
      </c>
      <c r="AD1348" s="103"/>
      <c r="AE1348" s="103"/>
      <c r="AF1348" s="103"/>
      <c r="AG1348" s="103">
        <v>952</v>
      </c>
      <c r="AH1348" s="103"/>
      <c r="AI1348" s="103"/>
      <c r="AJ1348" s="103">
        <v>10</v>
      </c>
      <c r="AK1348" s="103"/>
      <c r="AL1348" s="103"/>
      <c r="AM1348" s="103"/>
      <c r="AN1348" s="103">
        <v>207</v>
      </c>
      <c r="AO1348" s="103"/>
      <c r="AP1348" s="103"/>
      <c r="AQ1348" s="103"/>
      <c r="AR1348" s="103"/>
      <c r="AS1348" s="103">
        <v>952</v>
      </c>
      <c r="AT1348" s="103"/>
      <c r="AU1348" s="103"/>
      <c r="AV1348" s="103"/>
      <c r="AW1348" s="104" t="str">
        <f>HYPERLINK("http://www.openstreetmap.org/?mlat=36.3909&amp;mlon=43.2045&amp;zoom=12#map=12/36.3909/43.2045","Maplink1")</f>
        <v>Maplink1</v>
      </c>
      <c r="AX1348" s="104" t="str">
        <f>HYPERLINK("https://www.google.iq/maps/search/+36.3909,43.2045/@36.3909,43.2045,14z?hl=en","Maplink2")</f>
        <v>Maplink2</v>
      </c>
      <c r="AY1348" s="104" t="str">
        <f>HYPERLINK("http://www.bing.com/maps/?lvl=14&amp;sty=h&amp;cp=36.3909~43.2045&amp;sp=point.36.3909_43.2045","Maplink3")</f>
        <v>Maplink3</v>
      </c>
    </row>
    <row r="1349" spans="1:51" x14ac:dyDescent="0.2">
      <c r="A1349" s="102">
        <v>23933</v>
      </c>
      <c r="B1349" s="103" t="s">
        <v>35</v>
      </c>
      <c r="C1349" s="103" t="s">
        <v>102</v>
      </c>
      <c r="D1349" s="103" t="s">
        <v>2631</v>
      </c>
      <c r="E1349" s="103" t="s">
        <v>2632</v>
      </c>
      <c r="F1349" s="103">
        <v>36.365992224899998</v>
      </c>
      <c r="G1349" s="103">
        <v>43.220835604000001</v>
      </c>
      <c r="H1349" s="102">
        <v>1181</v>
      </c>
      <c r="I1349" s="102">
        <v>7086</v>
      </c>
      <c r="J1349" s="103"/>
      <c r="K1349" s="103"/>
      <c r="L1349" s="103"/>
      <c r="M1349" s="103">
        <v>1181</v>
      </c>
      <c r="N1349" s="103"/>
      <c r="O1349" s="103"/>
      <c r="P1349" s="103"/>
      <c r="Q1349" s="103"/>
      <c r="R1349" s="103"/>
      <c r="S1349" s="103"/>
      <c r="T1349" s="103"/>
      <c r="U1349" s="103"/>
      <c r="V1349" s="103"/>
      <c r="W1349" s="103">
        <v>8</v>
      </c>
      <c r="X1349" s="103"/>
      <c r="Y1349" s="103">
        <v>36</v>
      </c>
      <c r="Z1349" s="103"/>
      <c r="AA1349" s="103">
        <v>43</v>
      </c>
      <c r="AB1349" s="103"/>
      <c r="AC1349" s="103"/>
      <c r="AD1349" s="103"/>
      <c r="AE1349" s="103"/>
      <c r="AF1349" s="103"/>
      <c r="AG1349" s="103">
        <v>1094</v>
      </c>
      <c r="AH1349" s="103"/>
      <c r="AI1349" s="103"/>
      <c r="AJ1349" s="103"/>
      <c r="AK1349" s="103"/>
      <c r="AL1349" s="103"/>
      <c r="AM1349" s="103"/>
      <c r="AN1349" s="103">
        <v>87</v>
      </c>
      <c r="AO1349" s="103"/>
      <c r="AP1349" s="103"/>
      <c r="AQ1349" s="103"/>
      <c r="AR1349" s="103"/>
      <c r="AS1349" s="103">
        <v>1094</v>
      </c>
      <c r="AT1349" s="103"/>
      <c r="AU1349" s="103"/>
      <c r="AV1349" s="103"/>
      <c r="AW1349" s="104" t="str">
        <f>HYPERLINK("http://www.openstreetmap.org/?mlat=36.366&amp;mlon=43.2208&amp;zoom=12#map=12/36.366/43.2208","Maplink1")</f>
        <v>Maplink1</v>
      </c>
      <c r="AX1349" s="104" t="str">
        <f>HYPERLINK("https://www.google.iq/maps/search/+36.366,43.2208/@36.366,43.2208,14z?hl=en","Maplink2")</f>
        <v>Maplink2</v>
      </c>
      <c r="AY1349" s="104" t="str">
        <f>HYPERLINK("http://www.bing.com/maps/?lvl=14&amp;sty=h&amp;cp=36.366~43.2208&amp;sp=point.36.366_43.2208","Maplink3")</f>
        <v>Maplink3</v>
      </c>
    </row>
    <row r="1350" spans="1:51" x14ac:dyDescent="0.2">
      <c r="A1350" s="102">
        <v>24635</v>
      </c>
      <c r="B1350" s="103" t="s">
        <v>35</v>
      </c>
      <c r="C1350" s="103" t="s">
        <v>102</v>
      </c>
      <c r="D1350" s="103" t="s">
        <v>2633</v>
      </c>
      <c r="E1350" s="103" t="s">
        <v>2634</v>
      </c>
      <c r="F1350" s="103">
        <v>36.326249637700002</v>
      </c>
      <c r="G1350" s="103">
        <v>43.082678685499999</v>
      </c>
      <c r="H1350" s="102">
        <v>896</v>
      </c>
      <c r="I1350" s="102">
        <v>5376</v>
      </c>
      <c r="J1350" s="103"/>
      <c r="K1350" s="103"/>
      <c r="L1350" s="103"/>
      <c r="M1350" s="103">
        <v>896</v>
      </c>
      <c r="N1350" s="103"/>
      <c r="O1350" s="103"/>
      <c r="P1350" s="103"/>
      <c r="Q1350" s="103"/>
      <c r="R1350" s="103"/>
      <c r="S1350" s="103"/>
      <c r="T1350" s="103"/>
      <c r="U1350" s="103"/>
      <c r="V1350" s="103"/>
      <c r="W1350" s="103"/>
      <c r="X1350" s="103"/>
      <c r="Y1350" s="103"/>
      <c r="Z1350" s="103"/>
      <c r="AA1350" s="103"/>
      <c r="AB1350" s="103"/>
      <c r="AC1350" s="103"/>
      <c r="AD1350" s="103"/>
      <c r="AE1350" s="103"/>
      <c r="AF1350" s="103"/>
      <c r="AG1350" s="103">
        <v>896</v>
      </c>
      <c r="AH1350" s="103"/>
      <c r="AI1350" s="103"/>
      <c r="AJ1350" s="103"/>
      <c r="AK1350" s="103"/>
      <c r="AL1350" s="103"/>
      <c r="AM1350" s="103"/>
      <c r="AN1350" s="103"/>
      <c r="AO1350" s="103"/>
      <c r="AP1350" s="103"/>
      <c r="AQ1350" s="103"/>
      <c r="AR1350" s="103"/>
      <c r="AS1350" s="103">
        <v>896</v>
      </c>
      <c r="AT1350" s="103"/>
      <c r="AU1350" s="103"/>
      <c r="AV1350" s="103"/>
      <c r="AW1350" s="104" t="str">
        <f>HYPERLINK("http://www.openstreetmap.org/?mlat=36.3262&amp;mlon=43.0827&amp;zoom=12#map=12/36.3262/43.0827","Maplink1")</f>
        <v>Maplink1</v>
      </c>
      <c r="AX1350" s="104" t="str">
        <f>HYPERLINK("https://www.google.iq/maps/search/+36.3262,43.0827/@36.3262,43.0827,14z?hl=en","Maplink2")</f>
        <v>Maplink2</v>
      </c>
      <c r="AY1350" s="104" t="str">
        <f>HYPERLINK("http://www.bing.com/maps/?lvl=14&amp;sty=h&amp;cp=36.3262~43.0827&amp;sp=point.36.3262_43.0827","Maplink3")</f>
        <v>Maplink3</v>
      </c>
    </row>
    <row r="1351" spans="1:51" x14ac:dyDescent="0.2">
      <c r="A1351" s="102">
        <v>22431</v>
      </c>
      <c r="B1351" s="103" t="s">
        <v>35</v>
      </c>
      <c r="C1351" s="103" t="s">
        <v>102</v>
      </c>
      <c r="D1351" s="103" t="s">
        <v>2635</v>
      </c>
      <c r="E1351" s="103" t="s">
        <v>2636</v>
      </c>
      <c r="F1351" s="103">
        <v>36.444640771700001</v>
      </c>
      <c r="G1351" s="103">
        <v>43.253218392800001</v>
      </c>
      <c r="H1351" s="102">
        <v>293</v>
      </c>
      <c r="I1351" s="102">
        <v>1758</v>
      </c>
      <c r="J1351" s="103"/>
      <c r="K1351" s="103"/>
      <c r="L1351" s="103"/>
      <c r="M1351" s="103">
        <v>293</v>
      </c>
      <c r="N1351" s="103"/>
      <c r="O1351" s="103"/>
      <c r="P1351" s="103"/>
      <c r="Q1351" s="103"/>
      <c r="R1351" s="103"/>
      <c r="S1351" s="103"/>
      <c r="T1351" s="103"/>
      <c r="U1351" s="103"/>
      <c r="V1351" s="103">
        <v>1</v>
      </c>
      <c r="W1351" s="103"/>
      <c r="X1351" s="103"/>
      <c r="Y1351" s="103">
        <v>37</v>
      </c>
      <c r="Z1351" s="103">
        <v>1</v>
      </c>
      <c r="AA1351" s="103">
        <v>45</v>
      </c>
      <c r="AB1351" s="103">
        <v>4</v>
      </c>
      <c r="AC1351" s="103"/>
      <c r="AD1351" s="103"/>
      <c r="AE1351" s="103"/>
      <c r="AF1351" s="103">
        <v>2</v>
      </c>
      <c r="AG1351" s="103">
        <v>167</v>
      </c>
      <c r="AH1351" s="103">
        <v>4</v>
      </c>
      <c r="AI1351" s="103"/>
      <c r="AJ1351" s="103">
        <v>17</v>
      </c>
      <c r="AK1351" s="103"/>
      <c r="AL1351" s="103">
        <v>15</v>
      </c>
      <c r="AM1351" s="103"/>
      <c r="AN1351" s="103"/>
      <c r="AO1351" s="103">
        <v>293</v>
      </c>
      <c r="AP1351" s="103"/>
      <c r="AQ1351" s="103"/>
      <c r="AR1351" s="103"/>
      <c r="AS1351" s="103"/>
      <c r="AT1351" s="103"/>
      <c r="AU1351" s="103"/>
      <c r="AV1351" s="103"/>
      <c r="AW1351" s="104" t="str">
        <f>HYPERLINK("http://www.openstreetmap.org/?mlat=36.4446&amp;mlon=43.2532&amp;zoom=12#map=12/36.4446/43.2532","Maplink1")</f>
        <v>Maplink1</v>
      </c>
      <c r="AX1351" s="104" t="str">
        <f>HYPERLINK("https://www.google.iq/maps/search/+36.4446,43.2532/@36.4446,43.2532,14z?hl=en","Maplink2")</f>
        <v>Maplink2</v>
      </c>
      <c r="AY1351" s="104" t="str">
        <f>HYPERLINK("http://www.bing.com/maps/?lvl=14&amp;sty=h&amp;cp=36.4446~43.2532&amp;sp=point.36.4446_43.2532","Maplink3")</f>
        <v>Maplink3</v>
      </c>
    </row>
    <row r="1352" spans="1:51" x14ac:dyDescent="0.2">
      <c r="A1352" s="102">
        <v>25810</v>
      </c>
      <c r="B1352" s="103" t="s">
        <v>35</v>
      </c>
      <c r="C1352" s="103" t="s">
        <v>102</v>
      </c>
      <c r="D1352" s="103" t="s">
        <v>2637</v>
      </c>
      <c r="E1352" s="103" t="s">
        <v>2638</v>
      </c>
      <c r="F1352" s="103">
        <v>36.47873242</v>
      </c>
      <c r="G1352" s="103">
        <v>43.4398097431</v>
      </c>
      <c r="H1352" s="102">
        <v>75</v>
      </c>
      <c r="I1352" s="102">
        <v>450</v>
      </c>
      <c r="J1352" s="103"/>
      <c r="K1352" s="103"/>
      <c r="L1352" s="103"/>
      <c r="M1352" s="103">
        <v>75</v>
      </c>
      <c r="N1352" s="103"/>
      <c r="O1352" s="103"/>
      <c r="P1352" s="103"/>
      <c r="Q1352" s="103"/>
      <c r="R1352" s="103"/>
      <c r="S1352" s="103"/>
      <c r="T1352" s="103"/>
      <c r="U1352" s="103"/>
      <c r="V1352" s="103"/>
      <c r="W1352" s="103"/>
      <c r="X1352" s="103"/>
      <c r="Y1352" s="103">
        <v>30</v>
      </c>
      <c r="Z1352" s="103"/>
      <c r="AA1352" s="103">
        <v>45</v>
      </c>
      <c r="AB1352" s="103"/>
      <c r="AC1352" s="103"/>
      <c r="AD1352" s="103"/>
      <c r="AE1352" s="103"/>
      <c r="AF1352" s="103"/>
      <c r="AG1352" s="103"/>
      <c r="AH1352" s="103"/>
      <c r="AI1352" s="103"/>
      <c r="AJ1352" s="103"/>
      <c r="AK1352" s="103"/>
      <c r="AL1352" s="103"/>
      <c r="AM1352" s="103"/>
      <c r="AN1352" s="103"/>
      <c r="AO1352" s="103">
        <v>75</v>
      </c>
      <c r="AP1352" s="103"/>
      <c r="AQ1352" s="103"/>
      <c r="AR1352" s="103"/>
      <c r="AS1352" s="103"/>
      <c r="AT1352" s="103"/>
      <c r="AU1352" s="103"/>
      <c r="AV1352" s="103"/>
      <c r="AW1352" s="104" t="str">
        <f>HYPERLINK("http://www.openstreetmap.org/?mlat=36.4787&amp;mlon=43.4398&amp;zoom=12#map=12/36.4787/43.4398","Maplink1")</f>
        <v>Maplink1</v>
      </c>
      <c r="AX1352" s="104" t="str">
        <f>HYPERLINK("https://www.google.iq/maps/search/+36.4787,43.4398/@36.4787,43.4398,14z?hl=en","Maplink2")</f>
        <v>Maplink2</v>
      </c>
      <c r="AY1352" s="104" t="str">
        <f>HYPERLINK("http://www.bing.com/maps/?lvl=14&amp;sty=h&amp;cp=36.4787~43.4398&amp;sp=point.36.4787_43.4398","Maplink3")</f>
        <v>Maplink3</v>
      </c>
    </row>
    <row r="1353" spans="1:51" x14ac:dyDescent="0.2">
      <c r="A1353" s="102">
        <v>17510</v>
      </c>
      <c r="B1353" s="103" t="s">
        <v>35</v>
      </c>
      <c r="C1353" s="103" t="s">
        <v>102</v>
      </c>
      <c r="D1353" s="103" t="s">
        <v>2639</v>
      </c>
      <c r="E1353" s="103" t="s">
        <v>2640</v>
      </c>
      <c r="F1353" s="103">
        <v>35.829430018700002</v>
      </c>
      <c r="G1353" s="103">
        <v>43.326009549200002</v>
      </c>
      <c r="H1353" s="102">
        <v>253</v>
      </c>
      <c r="I1353" s="102">
        <v>1518</v>
      </c>
      <c r="J1353" s="103"/>
      <c r="K1353" s="103"/>
      <c r="L1353" s="103"/>
      <c r="M1353" s="103">
        <v>251</v>
      </c>
      <c r="N1353" s="103">
        <v>2</v>
      </c>
      <c r="O1353" s="103"/>
      <c r="P1353" s="103"/>
      <c r="Q1353" s="103"/>
      <c r="R1353" s="103"/>
      <c r="S1353" s="103"/>
      <c r="T1353" s="103"/>
      <c r="U1353" s="103"/>
      <c r="V1353" s="103"/>
      <c r="W1353" s="103"/>
      <c r="X1353" s="103"/>
      <c r="Y1353" s="103"/>
      <c r="Z1353" s="103"/>
      <c r="AA1353" s="103">
        <v>253</v>
      </c>
      <c r="AB1353" s="103"/>
      <c r="AC1353" s="103"/>
      <c r="AD1353" s="103"/>
      <c r="AE1353" s="103"/>
      <c r="AF1353" s="103"/>
      <c r="AG1353" s="103"/>
      <c r="AH1353" s="103"/>
      <c r="AI1353" s="103"/>
      <c r="AJ1353" s="103"/>
      <c r="AK1353" s="103"/>
      <c r="AL1353" s="103"/>
      <c r="AM1353" s="103"/>
      <c r="AN1353" s="103"/>
      <c r="AO1353" s="103"/>
      <c r="AP1353" s="103"/>
      <c r="AQ1353" s="103">
        <v>3</v>
      </c>
      <c r="AR1353" s="103">
        <v>195</v>
      </c>
      <c r="AS1353" s="103">
        <v>55</v>
      </c>
      <c r="AT1353" s="103"/>
      <c r="AU1353" s="103"/>
      <c r="AV1353" s="103"/>
      <c r="AW1353" s="104" t="str">
        <f>HYPERLINK("http://www.openstreetmap.org/?mlat=35.8294&amp;mlon=43.326&amp;zoom=12#map=12/35.8294/43.326","Maplink1")</f>
        <v>Maplink1</v>
      </c>
      <c r="AX1353" s="104" t="str">
        <f>HYPERLINK("https://www.google.iq/maps/search/+35.8294,43.326/@35.8294,43.326,14z?hl=en","Maplink2")</f>
        <v>Maplink2</v>
      </c>
      <c r="AY1353" s="104" t="str">
        <f>HYPERLINK("http://www.bing.com/maps/?lvl=14&amp;sty=h&amp;cp=35.8294~43.326&amp;sp=point.35.8294_43.326","Maplink3")</f>
        <v>Maplink3</v>
      </c>
    </row>
    <row r="1354" spans="1:51" x14ac:dyDescent="0.2">
      <c r="A1354" s="102">
        <v>18335</v>
      </c>
      <c r="B1354" s="103" t="s">
        <v>35</v>
      </c>
      <c r="C1354" s="103" t="s">
        <v>102</v>
      </c>
      <c r="D1354" s="103" t="s">
        <v>2641</v>
      </c>
      <c r="E1354" s="103" t="s">
        <v>217</v>
      </c>
      <c r="F1354" s="103">
        <v>36.379817362300003</v>
      </c>
      <c r="G1354" s="103">
        <v>43.132726875800003</v>
      </c>
      <c r="H1354" s="102">
        <v>184</v>
      </c>
      <c r="I1354" s="102">
        <v>1104</v>
      </c>
      <c r="J1354" s="103"/>
      <c r="K1354" s="103"/>
      <c r="L1354" s="103"/>
      <c r="M1354" s="103">
        <v>184</v>
      </c>
      <c r="N1354" s="103"/>
      <c r="O1354" s="103"/>
      <c r="P1354" s="103"/>
      <c r="Q1354" s="103"/>
      <c r="R1354" s="103"/>
      <c r="S1354" s="103"/>
      <c r="T1354" s="103"/>
      <c r="U1354" s="103"/>
      <c r="V1354" s="103"/>
      <c r="W1354" s="103">
        <v>20</v>
      </c>
      <c r="X1354" s="103"/>
      <c r="Y1354" s="103">
        <v>23</v>
      </c>
      <c r="Z1354" s="103"/>
      <c r="AA1354" s="103">
        <v>30</v>
      </c>
      <c r="AB1354" s="103"/>
      <c r="AC1354" s="103">
        <v>9</v>
      </c>
      <c r="AD1354" s="103"/>
      <c r="AE1354" s="103"/>
      <c r="AF1354" s="103"/>
      <c r="AG1354" s="103">
        <v>102</v>
      </c>
      <c r="AH1354" s="103"/>
      <c r="AI1354" s="103"/>
      <c r="AJ1354" s="103"/>
      <c r="AK1354" s="103"/>
      <c r="AL1354" s="103"/>
      <c r="AM1354" s="103"/>
      <c r="AN1354" s="103">
        <v>82</v>
      </c>
      <c r="AO1354" s="103"/>
      <c r="AP1354" s="103"/>
      <c r="AQ1354" s="103"/>
      <c r="AR1354" s="103"/>
      <c r="AS1354" s="103">
        <v>102</v>
      </c>
      <c r="AT1354" s="103"/>
      <c r="AU1354" s="103"/>
      <c r="AV1354" s="103"/>
      <c r="AW1354" s="104" t="str">
        <f>HYPERLINK("http://www.openstreetmap.org/?mlat=36.3798&amp;mlon=43.1327&amp;zoom=12#map=12/36.3798/43.1327","Maplink1")</f>
        <v>Maplink1</v>
      </c>
      <c r="AX1354" s="104" t="str">
        <f>HYPERLINK("https://www.google.iq/maps/search/+36.3798,43.1327/@36.3798,43.1327,14z?hl=en","Maplink2")</f>
        <v>Maplink2</v>
      </c>
      <c r="AY1354" s="104" t="str">
        <f>HYPERLINK("http://www.bing.com/maps/?lvl=14&amp;sty=h&amp;cp=36.3798~43.1327&amp;sp=point.36.3798_43.1327","Maplink3")</f>
        <v>Maplink3</v>
      </c>
    </row>
    <row r="1355" spans="1:51" x14ac:dyDescent="0.2">
      <c r="A1355" s="102">
        <v>31940</v>
      </c>
      <c r="B1355" s="103" t="s">
        <v>35</v>
      </c>
      <c r="C1355" s="103" t="s">
        <v>102</v>
      </c>
      <c r="D1355" s="103" t="s">
        <v>2642</v>
      </c>
      <c r="E1355" s="103" t="s">
        <v>2643</v>
      </c>
      <c r="F1355" s="103">
        <v>35.739311645100003</v>
      </c>
      <c r="G1355" s="103">
        <v>43.310257270900003</v>
      </c>
      <c r="H1355" s="102">
        <v>100</v>
      </c>
      <c r="I1355" s="102">
        <v>600</v>
      </c>
      <c r="J1355" s="103"/>
      <c r="K1355" s="103"/>
      <c r="L1355" s="103"/>
      <c r="M1355" s="103">
        <v>97</v>
      </c>
      <c r="N1355" s="103">
        <v>3</v>
      </c>
      <c r="O1355" s="103"/>
      <c r="P1355" s="103"/>
      <c r="Q1355" s="103"/>
      <c r="R1355" s="103"/>
      <c r="S1355" s="103"/>
      <c r="T1355" s="103"/>
      <c r="U1355" s="103"/>
      <c r="V1355" s="103"/>
      <c r="W1355" s="103"/>
      <c r="X1355" s="103"/>
      <c r="Y1355" s="103"/>
      <c r="Z1355" s="103"/>
      <c r="AA1355" s="103">
        <v>100</v>
      </c>
      <c r="AB1355" s="103"/>
      <c r="AC1355" s="103"/>
      <c r="AD1355" s="103"/>
      <c r="AE1355" s="103"/>
      <c r="AF1355" s="103"/>
      <c r="AG1355" s="103"/>
      <c r="AH1355" s="103"/>
      <c r="AI1355" s="103"/>
      <c r="AJ1355" s="103"/>
      <c r="AK1355" s="103"/>
      <c r="AL1355" s="103"/>
      <c r="AM1355" s="103"/>
      <c r="AN1355" s="103"/>
      <c r="AO1355" s="103"/>
      <c r="AP1355" s="103"/>
      <c r="AQ1355" s="103"/>
      <c r="AR1355" s="103">
        <v>100</v>
      </c>
      <c r="AS1355" s="103"/>
      <c r="AT1355" s="103"/>
      <c r="AU1355" s="103"/>
      <c r="AV1355" s="103"/>
      <c r="AW1355" s="104" t="str">
        <f>HYPERLINK("http://www.openstreetmap.org/?mlat=35.7393&amp;mlon=43.3103&amp;zoom=12#map=12/35.7393/43.3103","Maplink1")</f>
        <v>Maplink1</v>
      </c>
      <c r="AX1355" s="104" t="str">
        <f>HYPERLINK("https://www.google.iq/maps/search/+35.7393,43.3103/@35.7393,43.3103,14z?hl=en","Maplink2")</f>
        <v>Maplink2</v>
      </c>
      <c r="AY1355" s="104" t="str">
        <f>HYPERLINK("http://www.bing.com/maps/?lvl=14&amp;sty=h&amp;cp=35.7393~43.3103&amp;sp=point.35.7393_43.3103","Maplink3")</f>
        <v>Maplink3</v>
      </c>
    </row>
    <row r="1356" spans="1:51" x14ac:dyDescent="0.2">
      <c r="A1356" s="102">
        <v>33203</v>
      </c>
      <c r="B1356" s="103" t="s">
        <v>35</v>
      </c>
      <c r="C1356" s="103" t="s">
        <v>102</v>
      </c>
      <c r="D1356" s="103" t="s">
        <v>2644</v>
      </c>
      <c r="E1356" s="103" t="s">
        <v>2645</v>
      </c>
      <c r="F1356" s="103">
        <v>36.411218863199998</v>
      </c>
      <c r="G1356" s="103">
        <v>42.936492925400003</v>
      </c>
      <c r="H1356" s="102">
        <v>125</v>
      </c>
      <c r="I1356" s="102">
        <v>750</v>
      </c>
      <c r="J1356" s="103"/>
      <c r="K1356" s="103"/>
      <c r="L1356" s="103"/>
      <c r="M1356" s="103">
        <v>125</v>
      </c>
      <c r="N1356" s="103"/>
      <c r="O1356" s="103"/>
      <c r="P1356" s="103"/>
      <c r="Q1356" s="103"/>
      <c r="R1356" s="103"/>
      <c r="S1356" s="103"/>
      <c r="T1356" s="103"/>
      <c r="U1356" s="103"/>
      <c r="V1356" s="103"/>
      <c r="W1356" s="103"/>
      <c r="X1356" s="103"/>
      <c r="Y1356" s="103"/>
      <c r="Z1356" s="103"/>
      <c r="AA1356" s="103"/>
      <c r="AB1356" s="103"/>
      <c r="AC1356" s="103"/>
      <c r="AD1356" s="103"/>
      <c r="AE1356" s="103"/>
      <c r="AF1356" s="103"/>
      <c r="AG1356" s="103">
        <v>125</v>
      </c>
      <c r="AH1356" s="103"/>
      <c r="AI1356" s="103"/>
      <c r="AJ1356" s="103"/>
      <c r="AK1356" s="103"/>
      <c r="AL1356" s="103"/>
      <c r="AM1356" s="103"/>
      <c r="AN1356" s="103"/>
      <c r="AO1356" s="103"/>
      <c r="AP1356" s="103"/>
      <c r="AQ1356" s="103"/>
      <c r="AR1356" s="103"/>
      <c r="AS1356" s="103">
        <v>125</v>
      </c>
      <c r="AT1356" s="103"/>
      <c r="AU1356" s="103"/>
      <c r="AV1356" s="103"/>
      <c r="AW1356" s="104" t="str">
        <f>HYPERLINK("http://www.openstreetmap.org/?mlat=36.4112&amp;mlon=42.9365&amp;zoom=12#map=12/36.4112/42.9365","Maplink1")</f>
        <v>Maplink1</v>
      </c>
      <c r="AX1356" s="104" t="str">
        <f>HYPERLINK("https://www.google.iq/maps/search/+36.4112,42.9365/@36.4112,42.9365,14z?hl=en","Maplink2")</f>
        <v>Maplink2</v>
      </c>
      <c r="AY1356" s="104" t="str">
        <f>HYPERLINK("http://www.bing.com/maps/?lvl=14&amp;sty=h&amp;cp=36.4112~42.9365&amp;sp=point.36.4112_42.9365","Maplink3")</f>
        <v>Maplink3</v>
      </c>
    </row>
    <row r="1357" spans="1:51" x14ac:dyDescent="0.2">
      <c r="A1357" s="102">
        <v>18393</v>
      </c>
      <c r="B1357" s="103" t="s">
        <v>35</v>
      </c>
      <c r="C1357" s="103" t="s">
        <v>102</v>
      </c>
      <c r="D1357" s="103" t="s">
        <v>2908</v>
      </c>
      <c r="E1357" s="103" t="s">
        <v>2909</v>
      </c>
      <c r="F1357" s="103">
        <v>36.368574914900002</v>
      </c>
      <c r="G1357" s="103">
        <v>43.137237786699998</v>
      </c>
      <c r="H1357" s="102">
        <v>232</v>
      </c>
      <c r="I1357" s="102">
        <v>1392</v>
      </c>
      <c r="J1357" s="103"/>
      <c r="K1357" s="103"/>
      <c r="L1357" s="103"/>
      <c r="M1357" s="103">
        <v>232</v>
      </c>
      <c r="N1357" s="103"/>
      <c r="O1357" s="103"/>
      <c r="P1357" s="103"/>
      <c r="Q1357" s="103"/>
      <c r="R1357" s="103"/>
      <c r="S1357" s="103"/>
      <c r="T1357" s="103"/>
      <c r="U1357" s="103"/>
      <c r="V1357" s="103"/>
      <c r="W1357" s="103">
        <v>49</v>
      </c>
      <c r="X1357" s="103"/>
      <c r="Y1357" s="103">
        <v>69</v>
      </c>
      <c r="Z1357" s="103"/>
      <c r="AA1357" s="103">
        <v>76</v>
      </c>
      <c r="AB1357" s="103"/>
      <c r="AC1357" s="103"/>
      <c r="AD1357" s="103"/>
      <c r="AE1357" s="103"/>
      <c r="AF1357" s="103"/>
      <c r="AG1357" s="103">
        <v>38</v>
      </c>
      <c r="AH1357" s="103"/>
      <c r="AI1357" s="103"/>
      <c r="AJ1357" s="103"/>
      <c r="AK1357" s="103"/>
      <c r="AL1357" s="103"/>
      <c r="AM1357" s="103"/>
      <c r="AN1357" s="103">
        <v>194</v>
      </c>
      <c r="AO1357" s="103"/>
      <c r="AP1357" s="103"/>
      <c r="AQ1357" s="103"/>
      <c r="AR1357" s="103"/>
      <c r="AS1357" s="103">
        <v>38</v>
      </c>
      <c r="AT1357" s="103"/>
      <c r="AU1357" s="103"/>
      <c r="AV1357" s="103"/>
      <c r="AW1357" s="104" t="str">
        <f>HYPERLINK("http://www.openstreetmap.org/?mlat=36.3686&amp;mlon=43.1372&amp;zoom=12#map=12/36.3686/43.1372","Maplink1")</f>
        <v>Maplink1</v>
      </c>
      <c r="AX1357" s="104" t="str">
        <f>HYPERLINK("https://www.google.iq/maps/search/+36.3686,43.1372/@36.3686,43.1372,14z?hl=en","Maplink2")</f>
        <v>Maplink2</v>
      </c>
      <c r="AY1357" s="104" t="str">
        <f>HYPERLINK("http://www.bing.com/maps/?lvl=14&amp;sty=h&amp;cp=36.3686~43.1372&amp;sp=point.36.3686_43.1372","Maplink3")</f>
        <v>Maplink3</v>
      </c>
    </row>
    <row r="1358" spans="1:51" x14ac:dyDescent="0.2">
      <c r="A1358" s="102">
        <v>18327</v>
      </c>
      <c r="B1358" s="103" t="s">
        <v>35</v>
      </c>
      <c r="C1358" s="103" t="s">
        <v>102</v>
      </c>
      <c r="D1358" s="103" t="s">
        <v>2910</v>
      </c>
      <c r="E1358" s="103" t="s">
        <v>2911</v>
      </c>
      <c r="F1358" s="103">
        <v>36.376514429799997</v>
      </c>
      <c r="G1358" s="103">
        <v>43.183302095599998</v>
      </c>
      <c r="H1358" s="102">
        <v>381</v>
      </c>
      <c r="I1358" s="102">
        <v>2286</v>
      </c>
      <c r="J1358" s="103"/>
      <c r="K1358" s="103"/>
      <c r="L1358" s="103"/>
      <c r="M1358" s="103">
        <v>381</v>
      </c>
      <c r="N1358" s="103"/>
      <c r="O1358" s="103"/>
      <c r="P1358" s="103"/>
      <c r="Q1358" s="103"/>
      <c r="R1358" s="103"/>
      <c r="S1358" s="103"/>
      <c r="T1358" s="103"/>
      <c r="U1358" s="103"/>
      <c r="V1358" s="103"/>
      <c r="W1358" s="103">
        <v>8</v>
      </c>
      <c r="X1358" s="103"/>
      <c r="Y1358" s="103">
        <v>26</v>
      </c>
      <c r="Z1358" s="103"/>
      <c r="AA1358" s="103">
        <v>26</v>
      </c>
      <c r="AB1358" s="103"/>
      <c r="AC1358" s="103"/>
      <c r="AD1358" s="103"/>
      <c r="AE1358" s="103"/>
      <c r="AF1358" s="103"/>
      <c r="AG1358" s="103">
        <v>321</v>
      </c>
      <c r="AH1358" s="103"/>
      <c r="AI1358" s="103"/>
      <c r="AJ1358" s="103"/>
      <c r="AK1358" s="103"/>
      <c r="AL1358" s="103"/>
      <c r="AM1358" s="103"/>
      <c r="AN1358" s="103">
        <v>60</v>
      </c>
      <c r="AO1358" s="103"/>
      <c r="AP1358" s="103"/>
      <c r="AQ1358" s="103"/>
      <c r="AR1358" s="103"/>
      <c r="AS1358" s="103">
        <v>321</v>
      </c>
      <c r="AT1358" s="103"/>
      <c r="AU1358" s="103"/>
      <c r="AV1358" s="103"/>
      <c r="AW1358" s="104" t="str">
        <f>HYPERLINK("http://www.openstreetmap.org/?mlat=36.3765&amp;mlon=43.1833&amp;zoom=12#map=12/36.3765/43.1833","Maplink1")</f>
        <v>Maplink1</v>
      </c>
      <c r="AX1358" s="104" t="str">
        <f>HYPERLINK("https://www.google.iq/maps/search/+36.3765,43.1833/@36.3765,43.1833,14z?hl=en","Maplink2")</f>
        <v>Maplink2</v>
      </c>
      <c r="AY1358" s="104" t="str">
        <f>HYPERLINK("http://www.bing.com/maps/?lvl=14&amp;sty=h&amp;cp=36.3765~43.1833&amp;sp=point.36.3765_43.1833","Maplink3")</f>
        <v>Maplink3</v>
      </c>
    </row>
    <row r="1359" spans="1:51" x14ac:dyDescent="0.2">
      <c r="A1359" s="102">
        <v>23789</v>
      </c>
      <c r="B1359" s="103" t="s">
        <v>35</v>
      </c>
      <c r="C1359" s="103" t="s">
        <v>102</v>
      </c>
      <c r="D1359" s="103" t="s">
        <v>568</v>
      </c>
      <c r="E1359" s="103" t="s">
        <v>205</v>
      </c>
      <c r="F1359" s="103">
        <v>36.340810476900003</v>
      </c>
      <c r="G1359" s="103">
        <v>43.127054765499999</v>
      </c>
      <c r="H1359" s="102">
        <v>340</v>
      </c>
      <c r="I1359" s="102">
        <v>2040</v>
      </c>
      <c r="J1359" s="103"/>
      <c r="K1359" s="103"/>
      <c r="L1359" s="103"/>
      <c r="M1359" s="103">
        <v>168</v>
      </c>
      <c r="N1359" s="103">
        <v>172</v>
      </c>
      <c r="O1359" s="103"/>
      <c r="P1359" s="103"/>
      <c r="Q1359" s="103"/>
      <c r="R1359" s="103"/>
      <c r="S1359" s="103"/>
      <c r="T1359" s="103"/>
      <c r="U1359" s="103"/>
      <c r="V1359" s="103"/>
      <c r="W1359" s="103"/>
      <c r="X1359" s="103"/>
      <c r="Y1359" s="103"/>
      <c r="Z1359" s="103"/>
      <c r="AA1359" s="103"/>
      <c r="AB1359" s="103"/>
      <c r="AC1359" s="103"/>
      <c r="AD1359" s="103"/>
      <c r="AE1359" s="103"/>
      <c r="AF1359" s="103"/>
      <c r="AG1359" s="103">
        <v>340</v>
      </c>
      <c r="AH1359" s="103"/>
      <c r="AI1359" s="103"/>
      <c r="AJ1359" s="103"/>
      <c r="AK1359" s="103"/>
      <c r="AL1359" s="103"/>
      <c r="AM1359" s="103"/>
      <c r="AN1359" s="103"/>
      <c r="AO1359" s="103"/>
      <c r="AP1359" s="103"/>
      <c r="AQ1359" s="103"/>
      <c r="AR1359" s="103"/>
      <c r="AS1359" s="103">
        <v>340</v>
      </c>
      <c r="AT1359" s="103"/>
      <c r="AU1359" s="103"/>
      <c r="AV1359" s="103"/>
      <c r="AW1359" s="104" t="str">
        <f>HYPERLINK("http://www.openstreetmap.org/?mlat=36.3408&amp;mlon=43.1271&amp;zoom=12#map=12/36.3408/43.1271","Maplink1")</f>
        <v>Maplink1</v>
      </c>
      <c r="AX1359" s="104" t="str">
        <f>HYPERLINK("https://www.google.iq/maps/search/+36.3408,43.1271/@36.3408,43.1271,14z?hl=en","Maplink2")</f>
        <v>Maplink2</v>
      </c>
      <c r="AY1359" s="104" t="str">
        <f>HYPERLINK("http://www.bing.com/maps/?lvl=14&amp;sty=h&amp;cp=36.3408~43.1271&amp;sp=point.36.3408_43.1271","Maplink3")</f>
        <v>Maplink3</v>
      </c>
    </row>
    <row r="1360" spans="1:51" x14ac:dyDescent="0.2">
      <c r="A1360" s="102">
        <v>25811</v>
      </c>
      <c r="B1360" s="103" t="s">
        <v>35</v>
      </c>
      <c r="C1360" s="103" t="s">
        <v>102</v>
      </c>
      <c r="D1360" s="103" t="s">
        <v>2912</v>
      </c>
      <c r="E1360" s="103" t="s">
        <v>2913</v>
      </c>
      <c r="F1360" s="103">
        <v>36.486525200000003</v>
      </c>
      <c r="G1360" s="103">
        <v>43.4298311226</v>
      </c>
      <c r="H1360" s="102">
        <v>41</v>
      </c>
      <c r="I1360" s="102">
        <v>246</v>
      </c>
      <c r="J1360" s="103"/>
      <c r="K1360" s="103"/>
      <c r="L1360" s="103"/>
      <c r="M1360" s="103">
        <v>41</v>
      </c>
      <c r="N1360" s="103"/>
      <c r="O1360" s="103"/>
      <c r="P1360" s="103"/>
      <c r="Q1360" s="103"/>
      <c r="R1360" s="103"/>
      <c r="S1360" s="103"/>
      <c r="T1360" s="103"/>
      <c r="U1360" s="103"/>
      <c r="V1360" s="103"/>
      <c r="W1360" s="103"/>
      <c r="X1360" s="103"/>
      <c r="Y1360" s="103">
        <v>31</v>
      </c>
      <c r="Z1360" s="103"/>
      <c r="AA1360" s="103">
        <v>10</v>
      </c>
      <c r="AB1360" s="103"/>
      <c r="AC1360" s="103"/>
      <c r="AD1360" s="103"/>
      <c r="AE1360" s="103"/>
      <c r="AF1360" s="103"/>
      <c r="AG1360" s="103"/>
      <c r="AH1360" s="103"/>
      <c r="AI1360" s="103"/>
      <c r="AJ1360" s="103"/>
      <c r="AK1360" s="103"/>
      <c r="AL1360" s="103"/>
      <c r="AM1360" s="103"/>
      <c r="AN1360" s="103"/>
      <c r="AO1360" s="103">
        <v>41</v>
      </c>
      <c r="AP1360" s="103"/>
      <c r="AQ1360" s="103"/>
      <c r="AR1360" s="103"/>
      <c r="AS1360" s="103"/>
      <c r="AT1360" s="103"/>
      <c r="AU1360" s="103"/>
      <c r="AV1360" s="103"/>
      <c r="AW1360" s="104" t="str">
        <f>HYPERLINK("http://www.openstreetmap.org/?mlat=36.4865&amp;mlon=43.4298&amp;zoom=12#map=12/36.4865/43.4298","Maplink1")</f>
        <v>Maplink1</v>
      </c>
      <c r="AX1360" s="104" t="str">
        <f>HYPERLINK("https://www.google.iq/maps/search/+36.4865,43.4298/@36.4865,43.4298,14z?hl=en","Maplink2")</f>
        <v>Maplink2</v>
      </c>
      <c r="AY1360" s="104" t="str">
        <f>HYPERLINK("http://www.bing.com/maps/?lvl=14&amp;sty=h&amp;cp=36.4865~43.4298&amp;sp=point.36.4865_43.4298","Maplink3")</f>
        <v>Maplink3</v>
      </c>
    </row>
    <row r="1361" spans="1:51" x14ac:dyDescent="0.2">
      <c r="A1361" s="102">
        <v>31773</v>
      </c>
      <c r="B1361" s="103" t="s">
        <v>35</v>
      </c>
      <c r="C1361" s="103" t="s">
        <v>102</v>
      </c>
      <c r="D1361" s="103" t="s">
        <v>2914</v>
      </c>
      <c r="E1361" s="103" t="s">
        <v>2915</v>
      </c>
      <c r="F1361" s="103">
        <v>36.150491111000001</v>
      </c>
      <c r="G1361" s="103">
        <v>43.253333148000003</v>
      </c>
      <c r="H1361" s="102">
        <v>720</v>
      </c>
      <c r="I1361" s="102">
        <v>4320</v>
      </c>
      <c r="J1361" s="103"/>
      <c r="K1361" s="103"/>
      <c r="L1361" s="103"/>
      <c r="M1361" s="103">
        <v>685</v>
      </c>
      <c r="N1361" s="103">
        <v>35</v>
      </c>
      <c r="O1361" s="103"/>
      <c r="P1361" s="103"/>
      <c r="Q1361" s="103"/>
      <c r="R1361" s="103"/>
      <c r="S1361" s="103"/>
      <c r="T1361" s="103"/>
      <c r="U1361" s="103"/>
      <c r="V1361" s="103"/>
      <c r="W1361" s="103"/>
      <c r="X1361" s="103"/>
      <c r="Y1361" s="103"/>
      <c r="Z1361" s="103"/>
      <c r="AA1361" s="103">
        <v>1</v>
      </c>
      <c r="AB1361" s="103"/>
      <c r="AC1361" s="103"/>
      <c r="AD1361" s="103"/>
      <c r="AE1361" s="103"/>
      <c r="AF1361" s="103"/>
      <c r="AG1361" s="103">
        <v>719</v>
      </c>
      <c r="AH1361" s="103"/>
      <c r="AI1361" s="103"/>
      <c r="AJ1361" s="103"/>
      <c r="AK1361" s="103"/>
      <c r="AL1361" s="103"/>
      <c r="AM1361" s="103"/>
      <c r="AN1361" s="103">
        <v>1</v>
      </c>
      <c r="AO1361" s="103"/>
      <c r="AP1361" s="103"/>
      <c r="AQ1361" s="103"/>
      <c r="AR1361" s="103"/>
      <c r="AS1361" s="103">
        <v>719</v>
      </c>
      <c r="AT1361" s="103"/>
      <c r="AU1361" s="103"/>
      <c r="AV1361" s="103"/>
      <c r="AW1361" s="104" t="str">
        <f>HYPERLINK("http://www.openstreetmap.org/?mlat=36.1505&amp;mlon=43.2533&amp;zoom=12#map=12/36.1505/43.2533","Maplink1")</f>
        <v>Maplink1</v>
      </c>
      <c r="AX1361" s="104" t="str">
        <f>HYPERLINK("https://www.google.iq/maps/search/+36.1505,43.2533/@36.1505,43.2533,14z?hl=en","Maplink2")</f>
        <v>Maplink2</v>
      </c>
      <c r="AY1361" s="104" t="str">
        <f>HYPERLINK("http://www.bing.com/maps/?lvl=14&amp;sty=h&amp;cp=36.1505~43.2533&amp;sp=point.36.1505_43.2533","Maplink3")</f>
        <v>Maplink3</v>
      </c>
    </row>
    <row r="1362" spans="1:51" x14ac:dyDescent="0.2">
      <c r="A1362" s="102">
        <v>31912</v>
      </c>
      <c r="B1362" s="103" t="s">
        <v>35</v>
      </c>
      <c r="C1362" s="103" t="s">
        <v>102</v>
      </c>
      <c r="D1362" s="103" t="s">
        <v>2916</v>
      </c>
      <c r="E1362" s="103" t="s">
        <v>2917</v>
      </c>
      <c r="F1362" s="103">
        <v>36.457312000000002</v>
      </c>
      <c r="G1362" s="103">
        <v>43.338309607500001</v>
      </c>
      <c r="H1362" s="102">
        <v>3300</v>
      </c>
      <c r="I1362" s="102">
        <v>19800</v>
      </c>
      <c r="J1362" s="103"/>
      <c r="K1362" s="103"/>
      <c r="L1362" s="103"/>
      <c r="M1362" s="103">
        <v>3300</v>
      </c>
      <c r="N1362" s="103"/>
      <c r="O1362" s="103"/>
      <c r="P1362" s="103"/>
      <c r="Q1362" s="103"/>
      <c r="R1362" s="103"/>
      <c r="S1362" s="103"/>
      <c r="T1362" s="103"/>
      <c r="U1362" s="103"/>
      <c r="V1362" s="103"/>
      <c r="W1362" s="103"/>
      <c r="X1362" s="103"/>
      <c r="Y1362" s="103">
        <v>1196</v>
      </c>
      <c r="Z1362" s="103"/>
      <c r="AA1362" s="103">
        <v>174</v>
      </c>
      <c r="AB1362" s="103"/>
      <c r="AC1362" s="103"/>
      <c r="AD1362" s="103"/>
      <c r="AE1362" s="103"/>
      <c r="AF1362" s="103"/>
      <c r="AG1362" s="103">
        <v>1929</v>
      </c>
      <c r="AH1362" s="103"/>
      <c r="AI1362" s="103"/>
      <c r="AJ1362" s="103">
        <v>1</v>
      </c>
      <c r="AK1362" s="103"/>
      <c r="AL1362" s="103"/>
      <c r="AM1362" s="103"/>
      <c r="AN1362" s="103"/>
      <c r="AO1362" s="103">
        <v>3300</v>
      </c>
      <c r="AP1362" s="103"/>
      <c r="AQ1362" s="103"/>
      <c r="AR1362" s="103"/>
      <c r="AS1362" s="103"/>
      <c r="AT1362" s="103"/>
      <c r="AU1362" s="103"/>
      <c r="AV1362" s="103"/>
      <c r="AW1362" s="104" t="str">
        <f>HYPERLINK("http://www.openstreetmap.org/?mlat=36.4573&amp;mlon=43.3383&amp;zoom=12#map=12/36.4573/43.3383","Maplink1")</f>
        <v>Maplink1</v>
      </c>
      <c r="AX1362" s="104" t="str">
        <f>HYPERLINK("https://www.google.iq/maps/search/+36.4573,43.3383/@36.4573,43.3383,14z?hl=en","Maplink2")</f>
        <v>Maplink2</v>
      </c>
      <c r="AY1362" s="104" t="str">
        <f>HYPERLINK("http://www.bing.com/maps/?lvl=14&amp;sty=h&amp;cp=36.4573~43.3383&amp;sp=point.36.4573_43.3383","Maplink3")</f>
        <v>Maplink3</v>
      </c>
    </row>
    <row r="1363" spans="1:51" x14ac:dyDescent="0.2">
      <c r="A1363" s="102">
        <v>31942</v>
      </c>
      <c r="B1363" s="103" t="s">
        <v>35</v>
      </c>
      <c r="C1363" s="103" t="s">
        <v>102</v>
      </c>
      <c r="D1363" s="103" t="s">
        <v>2918</v>
      </c>
      <c r="E1363" s="103" t="s">
        <v>2919</v>
      </c>
      <c r="F1363" s="103">
        <v>35.938375999999998</v>
      </c>
      <c r="G1363" s="103">
        <v>43.040728999999999</v>
      </c>
      <c r="H1363" s="102">
        <v>20</v>
      </c>
      <c r="I1363" s="102">
        <v>120</v>
      </c>
      <c r="J1363" s="103"/>
      <c r="K1363" s="103"/>
      <c r="L1363" s="103"/>
      <c r="M1363" s="103">
        <v>20</v>
      </c>
      <c r="N1363" s="103"/>
      <c r="O1363" s="103"/>
      <c r="P1363" s="103"/>
      <c r="Q1363" s="103"/>
      <c r="R1363" s="103"/>
      <c r="S1363" s="103"/>
      <c r="T1363" s="103"/>
      <c r="U1363" s="103"/>
      <c r="V1363" s="103"/>
      <c r="W1363" s="103"/>
      <c r="X1363" s="103"/>
      <c r="Y1363" s="103"/>
      <c r="Z1363" s="103"/>
      <c r="AA1363" s="103"/>
      <c r="AB1363" s="103"/>
      <c r="AC1363" s="103"/>
      <c r="AD1363" s="103"/>
      <c r="AE1363" s="103"/>
      <c r="AF1363" s="103"/>
      <c r="AG1363" s="103">
        <v>20</v>
      </c>
      <c r="AH1363" s="103"/>
      <c r="AI1363" s="103"/>
      <c r="AJ1363" s="103"/>
      <c r="AK1363" s="103"/>
      <c r="AL1363" s="103"/>
      <c r="AM1363" s="103"/>
      <c r="AN1363" s="103"/>
      <c r="AO1363" s="103"/>
      <c r="AP1363" s="103"/>
      <c r="AQ1363" s="103"/>
      <c r="AR1363" s="103"/>
      <c r="AS1363" s="103">
        <v>20</v>
      </c>
      <c r="AT1363" s="103"/>
      <c r="AU1363" s="103"/>
      <c r="AV1363" s="103"/>
      <c r="AW1363" s="104" t="str">
        <f>HYPERLINK("http://www.openstreetmap.org/?mlat=35.9384&amp;mlon=43.0407&amp;zoom=12#map=12/35.9384/43.0407","Maplink1")</f>
        <v>Maplink1</v>
      </c>
      <c r="AX1363" s="104" t="str">
        <f>HYPERLINK("https://www.google.iq/maps/search/+35.9384,43.0407/@35.9384,43.0407,14z?hl=en","Maplink2")</f>
        <v>Maplink2</v>
      </c>
      <c r="AY1363" s="104" t="str">
        <f>HYPERLINK("http://www.bing.com/maps/?lvl=14&amp;sty=h&amp;cp=35.9384~43.0407&amp;sp=point.35.9384_43.0407","Maplink3")</f>
        <v>Maplink3</v>
      </c>
    </row>
    <row r="1364" spans="1:51" x14ac:dyDescent="0.2">
      <c r="A1364" s="102">
        <v>33204</v>
      </c>
      <c r="B1364" s="103" t="s">
        <v>35</v>
      </c>
      <c r="C1364" s="103" t="s">
        <v>102</v>
      </c>
      <c r="D1364" s="103" t="s">
        <v>2920</v>
      </c>
      <c r="E1364" s="103" t="s">
        <v>2921</v>
      </c>
      <c r="F1364" s="103">
        <v>36.257967000000001</v>
      </c>
      <c r="G1364" s="103">
        <v>42.806638872900002</v>
      </c>
      <c r="H1364" s="102">
        <v>10</v>
      </c>
      <c r="I1364" s="102">
        <v>60</v>
      </c>
      <c r="J1364" s="103"/>
      <c r="K1364" s="103"/>
      <c r="L1364" s="103"/>
      <c r="M1364" s="103">
        <v>10</v>
      </c>
      <c r="N1364" s="103"/>
      <c r="O1364" s="103"/>
      <c r="P1364" s="103"/>
      <c r="Q1364" s="103"/>
      <c r="R1364" s="103"/>
      <c r="S1364" s="103"/>
      <c r="T1364" s="103"/>
      <c r="U1364" s="103"/>
      <c r="V1364" s="103"/>
      <c r="W1364" s="103"/>
      <c r="X1364" s="103"/>
      <c r="Y1364" s="103"/>
      <c r="Z1364" s="103"/>
      <c r="AA1364" s="103"/>
      <c r="AB1364" s="103"/>
      <c r="AC1364" s="103"/>
      <c r="AD1364" s="103"/>
      <c r="AE1364" s="103"/>
      <c r="AF1364" s="103"/>
      <c r="AG1364" s="103">
        <v>10</v>
      </c>
      <c r="AH1364" s="103"/>
      <c r="AI1364" s="103"/>
      <c r="AJ1364" s="103"/>
      <c r="AK1364" s="103"/>
      <c r="AL1364" s="103"/>
      <c r="AM1364" s="103"/>
      <c r="AN1364" s="103"/>
      <c r="AO1364" s="103"/>
      <c r="AP1364" s="103"/>
      <c r="AQ1364" s="103"/>
      <c r="AR1364" s="103"/>
      <c r="AS1364" s="103">
        <v>10</v>
      </c>
      <c r="AT1364" s="103"/>
      <c r="AU1364" s="103"/>
      <c r="AV1364" s="103"/>
      <c r="AW1364" s="104" t="str">
        <f>HYPERLINK("http://www.openstreetmap.org/?mlat=36.258&amp;mlon=42.8066&amp;zoom=12#map=12/36.258/42.8066","Maplink1")</f>
        <v>Maplink1</v>
      </c>
      <c r="AX1364" s="104" t="str">
        <f>HYPERLINK("https://www.google.iq/maps/search/+36.258,42.8066/@36.258,42.8066,14z?hl=en","Maplink2")</f>
        <v>Maplink2</v>
      </c>
      <c r="AY1364" s="104" t="str">
        <f>HYPERLINK("http://www.bing.com/maps/?lvl=14&amp;sty=h&amp;cp=36.258~42.8066&amp;sp=point.36.258_42.8066","Maplink3")</f>
        <v>Maplink3</v>
      </c>
    </row>
    <row r="1365" spans="1:51" x14ac:dyDescent="0.2">
      <c r="A1365" s="102">
        <v>17410</v>
      </c>
      <c r="B1365" s="103" t="s">
        <v>35</v>
      </c>
      <c r="C1365" s="103" t="s">
        <v>102</v>
      </c>
      <c r="D1365" s="103" t="s">
        <v>2529</v>
      </c>
      <c r="E1365" s="103" t="s">
        <v>2530</v>
      </c>
      <c r="F1365" s="103">
        <v>36.280997228399997</v>
      </c>
      <c r="G1365" s="103">
        <v>42.942816396600001</v>
      </c>
      <c r="H1365" s="102">
        <v>10</v>
      </c>
      <c r="I1365" s="102">
        <v>60</v>
      </c>
      <c r="J1365" s="103"/>
      <c r="K1365" s="103"/>
      <c r="L1365" s="103"/>
      <c r="M1365" s="103">
        <v>10</v>
      </c>
      <c r="N1365" s="103"/>
      <c r="O1365" s="103"/>
      <c r="P1365" s="103"/>
      <c r="Q1365" s="103"/>
      <c r="R1365" s="103"/>
      <c r="S1365" s="103"/>
      <c r="T1365" s="103"/>
      <c r="U1365" s="103"/>
      <c r="V1365" s="103"/>
      <c r="W1365" s="103"/>
      <c r="X1365" s="103"/>
      <c r="Y1365" s="103"/>
      <c r="Z1365" s="103"/>
      <c r="AA1365" s="103"/>
      <c r="AB1365" s="103"/>
      <c r="AC1365" s="103"/>
      <c r="AD1365" s="103"/>
      <c r="AE1365" s="103"/>
      <c r="AF1365" s="103"/>
      <c r="AG1365" s="103">
        <v>10</v>
      </c>
      <c r="AH1365" s="103"/>
      <c r="AI1365" s="103"/>
      <c r="AJ1365" s="103"/>
      <c r="AK1365" s="103"/>
      <c r="AL1365" s="103"/>
      <c r="AM1365" s="103"/>
      <c r="AN1365" s="103"/>
      <c r="AO1365" s="103"/>
      <c r="AP1365" s="103"/>
      <c r="AQ1365" s="103"/>
      <c r="AR1365" s="103"/>
      <c r="AS1365" s="103">
        <v>10</v>
      </c>
      <c r="AT1365" s="103"/>
      <c r="AU1365" s="103"/>
      <c r="AV1365" s="103"/>
      <c r="AW1365" s="104" t="str">
        <f>HYPERLINK("http://www.openstreetmap.org/?mlat=36.281&amp;mlon=42.9428&amp;zoom=12#map=12/36.281/42.9428","Maplink1")</f>
        <v>Maplink1</v>
      </c>
      <c r="AX1365" s="104" t="str">
        <f>HYPERLINK("https://www.google.iq/maps/search/+36.281,42.9428/@36.281,42.9428,14z?hl=en","Maplink2")</f>
        <v>Maplink2</v>
      </c>
      <c r="AY1365" s="104" t="str">
        <f>HYPERLINK("http://www.bing.com/maps/?lvl=14&amp;sty=h&amp;cp=36.281~42.9428&amp;sp=point.36.281_42.9428","Maplink3")</f>
        <v>Maplink3</v>
      </c>
    </row>
    <row r="1366" spans="1:51" x14ac:dyDescent="0.2">
      <c r="A1366" s="102">
        <v>21583</v>
      </c>
      <c r="B1366" s="103" t="s">
        <v>35</v>
      </c>
      <c r="C1366" s="103" t="s">
        <v>102</v>
      </c>
      <c r="D1366" s="103" t="s">
        <v>2531</v>
      </c>
      <c r="E1366" s="103" t="s">
        <v>2532</v>
      </c>
      <c r="F1366" s="103">
        <v>36.385966198699997</v>
      </c>
      <c r="G1366" s="103">
        <v>43.354284635699997</v>
      </c>
      <c r="H1366" s="102">
        <v>952</v>
      </c>
      <c r="I1366" s="102">
        <v>5712</v>
      </c>
      <c r="J1366" s="103"/>
      <c r="K1366" s="103"/>
      <c r="L1366" s="103"/>
      <c r="M1366" s="103">
        <v>952</v>
      </c>
      <c r="N1366" s="103"/>
      <c r="O1366" s="103"/>
      <c r="P1366" s="103"/>
      <c r="Q1366" s="103"/>
      <c r="R1366" s="103"/>
      <c r="S1366" s="103"/>
      <c r="T1366" s="103"/>
      <c r="U1366" s="103"/>
      <c r="V1366" s="103">
        <v>22</v>
      </c>
      <c r="W1366" s="103">
        <v>3</v>
      </c>
      <c r="X1366" s="103"/>
      <c r="Y1366" s="103">
        <v>74</v>
      </c>
      <c r="Z1366" s="103"/>
      <c r="AA1366" s="103">
        <v>236</v>
      </c>
      <c r="AB1366" s="103">
        <v>50</v>
      </c>
      <c r="AC1366" s="103"/>
      <c r="AD1366" s="103"/>
      <c r="AE1366" s="103"/>
      <c r="AF1366" s="103">
        <v>27</v>
      </c>
      <c r="AG1366" s="103">
        <v>466</v>
      </c>
      <c r="AH1366" s="103">
        <v>6</v>
      </c>
      <c r="AI1366" s="103"/>
      <c r="AJ1366" s="103">
        <v>54</v>
      </c>
      <c r="AK1366" s="103"/>
      <c r="AL1366" s="103">
        <v>14</v>
      </c>
      <c r="AM1366" s="103"/>
      <c r="AN1366" s="103"/>
      <c r="AO1366" s="103">
        <v>782</v>
      </c>
      <c r="AP1366" s="103"/>
      <c r="AQ1366" s="103"/>
      <c r="AR1366" s="103"/>
      <c r="AS1366" s="103">
        <v>170</v>
      </c>
      <c r="AT1366" s="103"/>
      <c r="AU1366" s="103"/>
      <c r="AV1366" s="103"/>
      <c r="AW1366" s="104" t="str">
        <f>HYPERLINK("http://www.openstreetmap.org/?mlat=36.386&amp;mlon=43.3543&amp;zoom=12#map=12/36.386/43.3543","Maplink1")</f>
        <v>Maplink1</v>
      </c>
      <c r="AX1366" s="104" t="str">
        <f>HYPERLINK("https://www.google.iq/maps/search/+36.386,43.3543/@36.386,43.3543,14z?hl=en","Maplink2")</f>
        <v>Maplink2</v>
      </c>
      <c r="AY1366" s="104" t="str">
        <f>HYPERLINK("http://www.bing.com/maps/?lvl=14&amp;sty=h&amp;cp=36.386~43.3543&amp;sp=point.36.386_43.3543","Maplink3")</f>
        <v>Maplink3</v>
      </c>
    </row>
    <row r="1367" spans="1:51" x14ac:dyDescent="0.2">
      <c r="A1367" s="102">
        <v>28434</v>
      </c>
      <c r="B1367" s="103" t="s">
        <v>35</v>
      </c>
      <c r="C1367" s="103" t="s">
        <v>102</v>
      </c>
      <c r="D1367" s="103" t="s">
        <v>2533</v>
      </c>
      <c r="E1367" s="103" t="s">
        <v>2534</v>
      </c>
      <c r="F1367" s="103">
        <v>36.434406092000003</v>
      </c>
      <c r="G1367" s="103">
        <v>42.800415359200002</v>
      </c>
      <c r="H1367" s="102">
        <v>367</v>
      </c>
      <c r="I1367" s="102">
        <v>2202</v>
      </c>
      <c r="J1367" s="103"/>
      <c r="K1367" s="103"/>
      <c r="L1367" s="103"/>
      <c r="M1367" s="103">
        <v>300</v>
      </c>
      <c r="N1367" s="103">
        <v>67</v>
      </c>
      <c r="O1367" s="103"/>
      <c r="P1367" s="103"/>
      <c r="Q1367" s="103"/>
      <c r="R1367" s="103"/>
      <c r="S1367" s="103"/>
      <c r="T1367" s="103"/>
      <c r="U1367" s="103"/>
      <c r="V1367" s="103"/>
      <c r="W1367" s="103"/>
      <c r="X1367" s="103"/>
      <c r="Y1367" s="103"/>
      <c r="Z1367" s="103"/>
      <c r="AA1367" s="103"/>
      <c r="AB1367" s="103"/>
      <c r="AC1367" s="103"/>
      <c r="AD1367" s="103"/>
      <c r="AE1367" s="103"/>
      <c r="AF1367" s="103"/>
      <c r="AG1367" s="103">
        <v>367</v>
      </c>
      <c r="AH1367" s="103"/>
      <c r="AI1367" s="103"/>
      <c r="AJ1367" s="103"/>
      <c r="AK1367" s="103"/>
      <c r="AL1367" s="103"/>
      <c r="AM1367" s="103"/>
      <c r="AN1367" s="103"/>
      <c r="AO1367" s="103"/>
      <c r="AP1367" s="103"/>
      <c r="AQ1367" s="103"/>
      <c r="AR1367" s="103"/>
      <c r="AS1367" s="103"/>
      <c r="AT1367" s="103">
        <v>367</v>
      </c>
      <c r="AU1367" s="103"/>
      <c r="AV1367" s="103"/>
      <c r="AW1367" s="104" t="str">
        <f>HYPERLINK("http://www.openstreetmap.org/?mlat=36.4344&amp;mlon=42.8004&amp;zoom=12#map=12/36.4344/42.8004","Maplink1")</f>
        <v>Maplink1</v>
      </c>
      <c r="AX1367" s="104" t="str">
        <f>HYPERLINK("https://www.google.iq/maps/search/+36.4344,42.8004/@36.4344,42.8004,14z?hl=en","Maplink2")</f>
        <v>Maplink2</v>
      </c>
      <c r="AY1367" s="104" t="str">
        <f>HYPERLINK("http://www.bing.com/maps/?lvl=14&amp;sty=h&amp;cp=36.4344~42.8004&amp;sp=point.36.4344_42.8004","Maplink3")</f>
        <v>Maplink3</v>
      </c>
    </row>
    <row r="1368" spans="1:51" x14ac:dyDescent="0.2">
      <c r="A1368" s="102">
        <v>31772</v>
      </c>
      <c r="B1368" s="103" t="s">
        <v>35</v>
      </c>
      <c r="C1368" s="103" t="s">
        <v>102</v>
      </c>
      <c r="D1368" s="103" t="s">
        <v>2535</v>
      </c>
      <c r="E1368" s="103" t="s">
        <v>2518</v>
      </c>
      <c r="F1368" s="103">
        <v>36.230871253300002</v>
      </c>
      <c r="G1368" s="103">
        <v>43.1887370221</v>
      </c>
      <c r="H1368" s="102">
        <v>15</v>
      </c>
      <c r="I1368" s="102">
        <v>90</v>
      </c>
      <c r="J1368" s="103"/>
      <c r="K1368" s="103"/>
      <c r="L1368" s="103"/>
      <c r="M1368" s="103">
        <v>15</v>
      </c>
      <c r="N1368" s="103"/>
      <c r="O1368" s="103"/>
      <c r="P1368" s="103"/>
      <c r="Q1368" s="103"/>
      <c r="R1368" s="103"/>
      <c r="S1368" s="103"/>
      <c r="T1368" s="103"/>
      <c r="U1368" s="103"/>
      <c r="V1368" s="103"/>
      <c r="W1368" s="103"/>
      <c r="X1368" s="103"/>
      <c r="Y1368" s="103"/>
      <c r="Z1368" s="103"/>
      <c r="AA1368" s="103"/>
      <c r="AB1368" s="103"/>
      <c r="AC1368" s="103"/>
      <c r="AD1368" s="103"/>
      <c r="AE1368" s="103"/>
      <c r="AF1368" s="103"/>
      <c r="AG1368" s="103">
        <v>15</v>
      </c>
      <c r="AH1368" s="103"/>
      <c r="AI1368" s="103"/>
      <c r="AJ1368" s="103"/>
      <c r="AK1368" s="103"/>
      <c r="AL1368" s="103"/>
      <c r="AM1368" s="103"/>
      <c r="AN1368" s="103"/>
      <c r="AO1368" s="103"/>
      <c r="AP1368" s="103"/>
      <c r="AQ1368" s="103"/>
      <c r="AR1368" s="103"/>
      <c r="AS1368" s="103">
        <v>15</v>
      </c>
      <c r="AT1368" s="103"/>
      <c r="AU1368" s="103"/>
      <c r="AV1368" s="103"/>
      <c r="AW1368" s="104" t="str">
        <f>HYPERLINK("http://www.openstreetmap.org/?mlat=36.2309&amp;mlon=43.1887&amp;zoom=12#map=12/36.2309/43.1887","Maplink1")</f>
        <v>Maplink1</v>
      </c>
      <c r="AX1368" s="104" t="str">
        <f>HYPERLINK("https://www.google.iq/maps/search/+36.2309,43.1887/@36.2309,43.1887,14z?hl=en","Maplink2")</f>
        <v>Maplink2</v>
      </c>
      <c r="AY1368" s="104" t="str">
        <f>HYPERLINK("http://www.bing.com/maps/?lvl=14&amp;sty=h&amp;cp=36.2309~43.1887&amp;sp=point.36.2309_43.1887","Maplink3")</f>
        <v>Maplink3</v>
      </c>
    </row>
    <row r="1369" spans="1:51" x14ac:dyDescent="0.2">
      <c r="A1369" s="102">
        <v>18375</v>
      </c>
      <c r="B1369" s="103" t="s">
        <v>35</v>
      </c>
      <c r="C1369" s="103" t="s">
        <v>102</v>
      </c>
      <c r="D1369" s="103" t="s">
        <v>2565</v>
      </c>
      <c r="E1369" s="103" t="s">
        <v>2566</v>
      </c>
      <c r="F1369" s="103">
        <v>36.320868980599997</v>
      </c>
      <c r="G1369" s="103">
        <v>43.114189748500003</v>
      </c>
      <c r="H1369" s="102">
        <v>2907</v>
      </c>
      <c r="I1369" s="102">
        <v>17442</v>
      </c>
      <c r="J1369" s="103"/>
      <c r="K1369" s="103"/>
      <c r="L1369" s="103"/>
      <c r="M1369" s="103">
        <v>2907</v>
      </c>
      <c r="N1369" s="103"/>
      <c r="O1369" s="103"/>
      <c r="P1369" s="103"/>
      <c r="Q1369" s="103"/>
      <c r="R1369" s="103"/>
      <c r="S1369" s="103"/>
      <c r="T1369" s="103"/>
      <c r="U1369" s="103"/>
      <c r="V1369" s="103"/>
      <c r="W1369" s="103"/>
      <c r="X1369" s="103"/>
      <c r="Y1369" s="103"/>
      <c r="Z1369" s="103"/>
      <c r="AA1369" s="103"/>
      <c r="AB1369" s="103"/>
      <c r="AC1369" s="103"/>
      <c r="AD1369" s="103"/>
      <c r="AE1369" s="103"/>
      <c r="AF1369" s="103"/>
      <c r="AG1369" s="103">
        <v>2907</v>
      </c>
      <c r="AH1369" s="103"/>
      <c r="AI1369" s="103"/>
      <c r="AJ1369" s="103"/>
      <c r="AK1369" s="103"/>
      <c r="AL1369" s="103"/>
      <c r="AM1369" s="103"/>
      <c r="AN1369" s="103"/>
      <c r="AO1369" s="103"/>
      <c r="AP1369" s="103"/>
      <c r="AQ1369" s="103"/>
      <c r="AR1369" s="103"/>
      <c r="AS1369" s="103">
        <v>2907</v>
      </c>
      <c r="AT1369" s="103"/>
      <c r="AU1369" s="103"/>
      <c r="AV1369" s="103"/>
      <c r="AW1369" s="104" t="str">
        <f>HYPERLINK("http://www.openstreetmap.org/?mlat=36.3209&amp;mlon=43.1142&amp;zoom=12#map=12/36.3209/43.1142","Maplink1")</f>
        <v>Maplink1</v>
      </c>
      <c r="AX1369" s="104" t="str">
        <f>HYPERLINK("https://www.google.iq/maps/search/+36.3209,43.1142/@36.3209,43.1142,14z?hl=en","Maplink2")</f>
        <v>Maplink2</v>
      </c>
      <c r="AY1369" s="104" t="str">
        <f>HYPERLINK("http://www.bing.com/maps/?lvl=14&amp;sty=h&amp;cp=36.3209~43.1142&amp;sp=point.36.3209_43.1142","Maplink3")</f>
        <v>Maplink3</v>
      </c>
    </row>
    <row r="1370" spans="1:51" x14ac:dyDescent="0.2">
      <c r="A1370" s="102">
        <v>18366</v>
      </c>
      <c r="B1370" s="103" t="s">
        <v>35</v>
      </c>
      <c r="C1370" s="103" t="s">
        <v>102</v>
      </c>
      <c r="D1370" s="103" t="s">
        <v>2567</v>
      </c>
      <c r="E1370" s="103" t="s">
        <v>2568</v>
      </c>
      <c r="F1370" s="103">
        <v>36.397396751999999</v>
      </c>
      <c r="G1370" s="103">
        <v>43.191909403399997</v>
      </c>
      <c r="H1370" s="102">
        <v>2075</v>
      </c>
      <c r="I1370" s="102">
        <v>12450</v>
      </c>
      <c r="J1370" s="103"/>
      <c r="K1370" s="103"/>
      <c r="L1370" s="103"/>
      <c r="M1370" s="103">
        <v>2075</v>
      </c>
      <c r="N1370" s="103"/>
      <c r="O1370" s="103"/>
      <c r="P1370" s="103"/>
      <c r="Q1370" s="103"/>
      <c r="R1370" s="103"/>
      <c r="S1370" s="103"/>
      <c r="T1370" s="103"/>
      <c r="U1370" s="103"/>
      <c r="V1370" s="103"/>
      <c r="W1370" s="103">
        <v>172</v>
      </c>
      <c r="X1370" s="103"/>
      <c r="Y1370" s="103">
        <v>88</v>
      </c>
      <c r="Z1370" s="103"/>
      <c r="AA1370" s="103">
        <v>133</v>
      </c>
      <c r="AB1370" s="103"/>
      <c r="AC1370" s="103">
        <v>2</v>
      </c>
      <c r="AD1370" s="103"/>
      <c r="AE1370" s="103"/>
      <c r="AF1370" s="103"/>
      <c r="AG1370" s="103">
        <v>1680</v>
      </c>
      <c r="AH1370" s="103"/>
      <c r="AI1370" s="103"/>
      <c r="AJ1370" s="103"/>
      <c r="AK1370" s="103"/>
      <c r="AL1370" s="103"/>
      <c r="AM1370" s="103"/>
      <c r="AN1370" s="103">
        <v>395</v>
      </c>
      <c r="AO1370" s="103"/>
      <c r="AP1370" s="103"/>
      <c r="AQ1370" s="103"/>
      <c r="AR1370" s="103"/>
      <c r="AS1370" s="103">
        <v>1680</v>
      </c>
      <c r="AT1370" s="103"/>
      <c r="AU1370" s="103"/>
      <c r="AV1370" s="103"/>
      <c r="AW1370" s="104" t="str">
        <f>HYPERLINK("http://www.openstreetmap.org/?mlat=36.3974&amp;mlon=43.1919&amp;zoom=12#map=12/36.3974/43.1919","Maplink1")</f>
        <v>Maplink1</v>
      </c>
      <c r="AX1370" s="104" t="str">
        <f>HYPERLINK("https://www.google.iq/maps/search/+36.3974,43.1919/@36.3974,43.1919,14z?hl=en","Maplink2")</f>
        <v>Maplink2</v>
      </c>
      <c r="AY1370" s="104" t="str">
        <f>HYPERLINK("http://www.bing.com/maps/?lvl=14&amp;sty=h&amp;cp=36.3974~43.1919&amp;sp=point.36.3974_43.1919","Maplink3")</f>
        <v>Maplink3</v>
      </c>
    </row>
    <row r="1371" spans="1:51" x14ac:dyDescent="0.2">
      <c r="A1371" s="102">
        <v>18247</v>
      </c>
      <c r="B1371" s="103" t="s">
        <v>35</v>
      </c>
      <c r="C1371" s="103" t="s">
        <v>102</v>
      </c>
      <c r="D1371" s="103" t="s">
        <v>2569</v>
      </c>
      <c r="E1371" s="103" t="s">
        <v>2570</v>
      </c>
      <c r="F1371" s="103">
        <v>36.368073493799997</v>
      </c>
      <c r="G1371" s="103">
        <v>43.083779382800003</v>
      </c>
      <c r="H1371" s="102">
        <v>1969</v>
      </c>
      <c r="I1371" s="102">
        <v>11814</v>
      </c>
      <c r="J1371" s="103"/>
      <c r="K1371" s="103"/>
      <c r="L1371" s="103"/>
      <c r="M1371" s="103">
        <v>1969</v>
      </c>
      <c r="N1371" s="103"/>
      <c r="O1371" s="103"/>
      <c r="P1371" s="103"/>
      <c r="Q1371" s="103"/>
      <c r="R1371" s="103"/>
      <c r="S1371" s="103"/>
      <c r="T1371" s="103"/>
      <c r="U1371" s="103"/>
      <c r="V1371" s="103"/>
      <c r="W1371" s="103">
        <v>29</v>
      </c>
      <c r="X1371" s="103"/>
      <c r="Y1371" s="103">
        <v>30</v>
      </c>
      <c r="Z1371" s="103"/>
      <c r="AA1371" s="103">
        <v>20</v>
      </c>
      <c r="AB1371" s="103"/>
      <c r="AC1371" s="103"/>
      <c r="AD1371" s="103"/>
      <c r="AE1371" s="103"/>
      <c r="AF1371" s="103"/>
      <c r="AG1371" s="103">
        <v>1890</v>
      </c>
      <c r="AH1371" s="103"/>
      <c r="AI1371" s="103"/>
      <c r="AJ1371" s="103"/>
      <c r="AK1371" s="103"/>
      <c r="AL1371" s="103"/>
      <c r="AM1371" s="103"/>
      <c r="AN1371" s="103">
        <v>79</v>
      </c>
      <c r="AO1371" s="103"/>
      <c r="AP1371" s="103"/>
      <c r="AQ1371" s="103"/>
      <c r="AR1371" s="103"/>
      <c r="AS1371" s="103">
        <v>1890</v>
      </c>
      <c r="AT1371" s="103"/>
      <c r="AU1371" s="103"/>
      <c r="AV1371" s="103"/>
      <c r="AW1371" s="104" t="str">
        <f>HYPERLINK("http://www.openstreetmap.org/?mlat=36.3681&amp;mlon=43.0838&amp;zoom=12#map=12/36.3681/43.0838","Maplink1")</f>
        <v>Maplink1</v>
      </c>
      <c r="AX1371" s="104" t="str">
        <f>HYPERLINK("https://www.google.iq/maps/search/+36.3681,43.0838/@36.3681,43.0838,14z?hl=en","Maplink2")</f>
        <v>Maplink2</v>
      </c>
      <c r="AY1371" s="104" t="str">
        <f>HYPERLINK("http://www.bing.com/maps/?lvl=14&amp;sty=h&amp;cp=36.3681~43.0838&amp;sp=point.36.3681_43.0838","Maplink3")</f>
        <v>Maplink3</v>
      </c>
    </row>
    <row r="1372" spans="1:51" x14ac:dyDescent="0.2">
      <c r="A1372" s="102">
        <v>29683</v>
      </c>
      <c r="B1372" s="103" t="s">
        <v>35</v>
      </c>
      <c r="C1372" s="103" t="s">
        <v>102</v>
      </c>
      <c r="D1372" s="103" t="s">
        <v>2571</v>
      </c>
      <c r="E1372" s="103" t="s">
        <v>2572</v>
      </c>
      <c r="F1372" s="103">
        <v>36.471574253</v>
      </c>
      <c r="G1372" s="103">
        <v>43.2248990087</v>
      </c>
      <c r="H1372" s="102">
        <v>82</v>
      </c>
      <c r="I1372" s="102">
        <v>492</v>
      </c>
      <c r="J1372" s="103"/>
      <c r="K1372" s="103"/>
      <c r="L1372" s="103"/>
      <c r="M1372" s="103">
        <v>82</v>
      </c>
      <c r="N1372" s="103"/>
      <c r="O1372" s="103"/>
      <c r="P1372" s="103"/>
      <c r="Q1372" s="103"/>
      <c r="R1372" s="103"/>
      <c r="S1372" s="103"/>
      <c r="T1372" s="103"/>
      <c r="U1372" s="103"/>
      <c r="V1372" s="103"/>
      <c r="W1372" s="103"/>
      <c r="X1372" s="103"/>
      <c r="Y1372" s="103"/>
      <c r="Z1372" s="103"/>
      <c r="AA1372" s="103"/>
      <c r="AB1372" s="103"/>
      <c r="AC1372" s="103"/>
      <c r="AD1372" s="103"/>
      <c r="AE1372" s="103"/>
      <c r="AF1372" s="103"/>
      <c r="AG1372" s="103">
        <v>82</v>
      </c>
      <c r="AH1372" s="103"/>
      <c r="AI1372" s="103"/>
      <c r="AJ1372" s="103"/>
      <c r="AK1372" s="103"/>
      <c r="AL1372" s="103"/>
      <c r="AM1372" s="103"/>
      <c r="AN1372" s="103"/>
      <c r="AO1372" s="103"/>
      <c r="AP1372" s="103"/>
      <c r="AQ1372" s="103"/>
      <c r="AR1372" s="103"/>
      <c r="AS1372" s="103">
        <v>82</v>
      </c>
      <c r="AT1372" s="103"/>
      <c r="AU1372" s="103"/>
      <c r="AV1372" s="103"/>
      <c r="AW1372" s="104" t="str">
        <f>HYPERLINK("http://www.openstreetmap.org/?mlat=36.4716&amp;mlon=43.2249&amp;zoom=12#map=12/36.4716/43.2249","Maplink1")</f>
        <v>Maplink1</v>
      </c>
      <c r="AX1372" s="104" t="str">
        <f>HYPERLINK("https://www.google.iq/maps/search/+36.4716,43.2249/@36.4716,43.2249,14z?hl=en","Maplink2")</f>
        <v>Maplink2</v>
      </c>
      <c r="AY1372" s="104" t="str">
        <f>HYPERLINK("http://www.bing.com/maps/?lvl=14&amp;sty=h&amp;cp=36.4716~43.2249&amp;sp=point.36.4716_43.2249","Maplink3")</f>
        <v>Maplink3</v>
      </c>
    </row>
    <row r="1373" spans="1:51" x14ac:dyDescent="0.2">
      <c r="A1373" s="102">
        <v>29701</v>
      </c>
      <c r="B1373" s="103" t="s">
        <v>35</v>
      </c>
      <c r="C1373" s="103" t="s">
        <v>102</v>
      </c>
      <c r="D1373" s="103" t="s">
        <v>2573</v>
      </c>
      <c r="E1373" s="103" t="s">
        <v>2574</v>
      </c>
      <c r="F1373" s="103">
        <v>35.772315614699998</v>
      </c>
      <c r="G1373" s="103">
        <v>43.2846771408</v>
      </c>
      <c r="H1373" s="102">
        <v>48</v>
      </c>
      <c r="I1373" s="102">
        <v>288</v>
      </c>
      <c r="J1373" s="103"/>
      <c r="K1373" s="103"/>
      <c r="L1373" s="103"/>
      <c r="M1373" s="103">
        <v>48</v>
      </c>
      <c r="N1373" s="103"/>
      <c r="O1373" s="103"/>
      <c r="P1373" s="103"/>
      <c r="Q1373" s="103"/>
      <c r="R1373" s="103"/>
      <c r="S1373" s="103"/>
      <c r="T1373" s="103"/>
      <c r="U1373" s="103"/>
      <c r="V1373" s="103"/>
      <c r="W1373" s="103"/>
      <c r="X1373" s="103"/>
      <c r="Y1373" s="103"/>
      <c r="Z1373" s="103"/>
      <c r="AA1373" s="103">
        <v>1</v>
      </c>
      <c r="AB1373" s="103"/>
      <c r="AC1373" s="103">
        <v>9</v>
      </c>
      <c r="AD1373" s="103"/>
      <c r="AE1373" s="103"/>
      <c r="AF1373" s="103"/>
      <c r="AG1373" s="103">
        <v>29</v>
      </c>
      <c r="AH1373" s="103"/>
      <c r="AI1373" s="103">
        <v>9</v>
      </c>
      <c r="AJ1373" s="103"/>
      <c r="AK1373" s="103"/>
      <c r="AL1373" s="103"/>
      <c r="AM1373" s="103"/>
      <c r="AN1373" s="103"/>
      <c r="AO1373" s="103"/>
      <c r="AP1373" s="103">
        <v>1</v>
      </c>
      <c r="AQ1373" s="103"/>
      <c r="AR1373" s="103">
        <v>30</v>
      </c>
      <c r="AS1373" s="103">
        <v>17</v>
      </c>
      <c r="AT1373" s="103"/>
      <c r="AU1373" s="103"/>
      <c r="AV1373" s="103"/>
      <c r="AW1373" s="104" t="str">
        <f>HYPERLINK("http://www.openstreetmap.org/?mlat=35.7723&amp;mlon=43.2847&amp;zoom=12#map=12/35.7723/43.2847","Maplink1")</f>
        <v>Maplink1</v>
      </c>
      <c r="AX1373" s="104" t="str">
        <f>HYPERLINK("https://www.google.iq/maps/search/+35.7723,43.2847/@35.7723,43.2847,14z?hl=en","Maplink2")</f>
        <v>Maplink2</v>
      </c>
      <c r="AY1373" s="104" t="str">
        <f>HYPERLINK("http://www.bing.com/maps/?lvl=14&amp;sty=h&amp;cp=35.7723~43.2847&amp;sp=point.35.7723_43.2847","Maplink3")</f>
        <v>Maplink3</v>
      </c>
    </row>
    <row r="1374" spans="1:51" x14ac:dyDescent="0.2">
      <c r="A1374" s="102">
        <v>31732</v>
      </c>
      <c r="B1374" s="103" t="s">
        <v>35</v>
      </c>
      <c r="C1374" s="103" t="s">
        <v>102</v>
      </c>
      <c r="D1374" s="103" t="s">
        <v>2575</v>
      </c>
      <c r="E1374" s="103" t="s">
        <v>2576</v>
      </c>
      <c r="F1374" s="103">
        <v>35.971748112199997</v>
      </c>
      <c r="G1374" s="103">
        <v>43.277397492799999</v>
      </c>
      <c r="H1374" s="102">
        <v>160</v>
      </c>
      <c r="I1374" s="102">
        <v>960</v>
      </c>
      <c r="J1374" s="103"/>
      <c r="K1374" s="103"/>
      <c r="L1374" s="103"/>
      <c r="M1374" s="103">
        <v>160</v>
      </c>
      <c r="N1374" s="103"/>
      <c r="O1374" s="103"/>
      <c r="P1374" s="103"/>
      <c r="Q1374" s="103"/>
      <c r="R1374" s="103"/>
      <c r="S1374" s="103"/>
      <c r="T1374" s="103"/>
      <c r="U1374" s="103"/>
      <c r="V1374" s="103"/>
      <c r="W1374" s="103"/>
      <c r="X1374" s="103"/>
      <c r="Y1374" s="103"/>
      <c r="Z1374" s="103"/>
      <c r="AA1374" s="103"/>
      <c r="AB1374" s="103"/>
      <c r="AC1374" s="103"/>
      <c r="AD1374" s="103"/>
      <c r="AE1374" s="103"/>
      <c r="AF1374" s="103"/>
      <c r="AG1374" s="103">
        <v>160</v>
      </c>
      <c r="AH1374" s="103"/>
      <c r="AI1374" s="103"/>
      <c r="AJ1374" s="103"/>
      <c r="AK1374" s="103"/>
      <c r="AL1374" s="103"/>
      <c r="AM1374" s="103"/>
      <c r="AN1374" s="103"/>
      <c r="AO1374" s="103"/>
      <c r="AP1374" s="103"/>
      <c r="AQ1374" s="103"/>
      <c r="AR1374" s="103"/>
      <c r="AS1374" s="103">
        <v>160</v>
      </c>
      <c r="AT1374" s="103"/>
      <c r="AU1374" s="103"/>
      <c r="AV1374" s="103"/>
      <c r="AW1374" s="104" t="str">
        <f>HYPERLINK("http://www.openstreetmap.org/?mlat=35.9717&amp;mlon=43.2774&amp;zoom=12#map=12/35.9717/43.2774","Maplink1")</f>
        <v>Maplink1</v>
      </c>
      <c r="AX1374" s="104" t="str">
        <f>HYPERLINK("https://www.google.iq/maps/search/+35.9717,43.2774/@35.9717,43.2774,14z?hl=en","Maplink2")</f>
        <v>Maplink2</v>
      </c>
      <c r="AY1374" s="104" t="str">
        <f>HYPERLINK("http://www.bing.com/maps/?lvl=14&amp;sty=h&amp;cp=35.9717~43.2774&amp;sp=point.35.9717_43.2774","Maplink3")</f>
        <v>Maplink3</v>
      </c>
    </row>
    <row r="1375" spans="1:51" x14ac:dyDescent="0.2">
      <c r="A1375" s="102">
        <v>18363</v>
      </c>
      <c r="B1375" s="103" t="s">
        <v>35</v>
      </c>
      <c r="C1375" s="103" t="s">
        <v>102</v>
      </c>
      <c r="D1375" s="103" t="s">
        <v>2654</v>
      </c>
      <c r="E1375" s="103" t="s">
        <v>537</v>
      </c>
      <c r="F1375" s="103">
        <v>36.389431967900002</v>
      </c>
      <c r="G1375" s="103">
        <v>43.158693434600004</v>
      </c>
      <c r="H1375" s="102">
        <v>240</v>
      </c>
      <c r="I1375" s="102">
        <v>1440</v>
      </c>
      <c r="J1375" s="103"/>
      <c r="K1375" s="103"/>
      <c r="L1375" s="103"/>
      <c r="M1375" s="103">
        <v>240</v>
      </c>
      <c r="N1375" s="103"/>
      <c r="O1375" s="103"/>
      <c r="P1375" s="103"/>
      <c r="Q1375" s="103"/>
      <c r="R1375" s="103"/>
      <c r="S1375" s="103"/>
      <c r="T1375" s="103"/>
      <c r="U1375" s="103"/>
      <c r="V1375" s="103"/>
      <c r="W1375" s="103">
        <v>14</v>
      </c>
      <c r="X1375" s="103"/>
      <c r="Y1375" s="103">
        <v>24</v>
      </c>
      <c r="Z1375" s="103"/>
      <c r="AA1375" s="103">
        <v>32</v>
      </c>
      <c r="AB1375" s="103"/>
      <c r="AC1375" s="103">
        <v>5</v>
      </c>
      <c r="AD1375" s="103"/>
      <c r="AE1375" s="103"/>
      <c r="AF1375" s="103"/>
      <c r="AG1375" s="103">
        <v>164</v>
      </c>
      <c r="AH1375" s="103"/>
      <c r="AI1375" s="103"/>
      <c r="AJ1375" s="103">
        <v>1</v>
      </c>
      <c r="AK1375" s="103"/>
      <c r="AL1375" s="103"/>
      <c r="AM1375" s="103"/>
      <c r="AN1375" s="103">
        <v>76</v>
      </c>
      <c r="AO1375" s="103"/>
      <c r="AP1375" s="103"/>
      <c r="AQ1375" s="103"/>
      <c r="AR1375" s="103"/>
      <c r="AS1375" s="103">
        <v>164</v>
      </c>
      <c r="AT1375" s="103"/>
      <c r="AU1375" s="103"/>
      <c r="AV1375" s="103"/>
      <c r="AW1375" s="104" t="str">
        <f>HYPERLINK("http://www.openstreetmap.org/?mlat=36.3894&amp;mlon=43.1587&amp;zoom=12#map=12/36.3894/43.1587","Maplink1")</f>
        <v>Maplink1</v>
      </c>
      <c r="AX1375" s="104" t="str">
        <f>HYPERLINK("https://www.google.iq/maps/search/+36.3894,43.1587/@36.3894,43.1587,14z?hl=en","Maplink2")</f>
        <v>Maplink2</v>
      </c>
      <c r="AY1375" s="104" t="str">
        <f>HYPERLINK("http://www.bing.com/maps/?lvl=14&amp;sty=h&amp;cp=36.3894~43.1587&amp;sp=point.36.3894_43.1587","Maplink3")</f>
        <v>Maplink3</v>
      </c>
    </row>
    <row r="1376" spans="1:51" x14ac:dyDescent="0.2">
      <c r="A1376" s="102">
        <v>22213</v>
      </c>
      <c r="B1376" s="103" t="s">
        <v>35</v>
      </c>
      <c r="C1376" s="103" t="s">
        <v>102</v>
      </c>
      <c r="D1376" s="103" t="s">
        <v>2655</v>
      </c>
      <c r="E1376" s="103" t="s">
        <v>2656</v>
      </c>
      <c r="F1376" s="103">
        <v>36.490839000000001</v>
      </c>
      <c r="G1376" s="103">
        <v>43.3078422484</v>
      </c>
      <c r="H1376" s="102">
        <v>110</v>
      </c>
      <c r="I1376" s="102">
        <v>660</v>
      </c>
      <c r="J1376" s="103"/>
      <c r="K1376" s="103"/>
      <c r="L1376" s="103"/>
      <c r="M1376" s="103">
        <v>110</v>
      </c>
      <c r="N1376" s="103"/>
      <c r="O1376" s="103"/>
      <c r="P1376" s="103"/>
      <c r="Q1376" s="103"/>
      <c r="R1376" s="103"/>
      <c r="S1376" s="103"/>
      <c r="T1376" s="103"/>
      <c r="U1376" s="103"/>
      <c r="V1376" s="103"/>
      <c r="W1376" s="103"/>
      <c r="X1376" s="103"/>
      <c r="Y1376" s="103">
        <v>12</v>
      </c>
      <c r="Z1376" s="103"/>
      <c r="AA1376" s="103"/>
      <c r="AB1376" s="103"/>
      <c r="AC1376" s="103"/>
      <c r="AD1376" s="103"/>
      <c r="AE1376" s="103"/>
      <c r="AF1376" s="103"/>
      <c r="AG1376" s="103">
        <v>98</v>
      </c>
      <c r="AH1376" s="103"/>
      <c r="AI1376" s="103"/>
      <c r="AJ1376" s="103"/>
      <c r="AK1376" s="103"/>
      <c r="AL1376" s="103"/>
      <c r="AM1376" s="103"/>
      <c r="AN1376" s="103"/>
      <c r="AO1376" s="103">
        <v>110</v>
      </c>
      <c r="AP1376" s="103"/>
      <c r="AQ1376" s="103"/>
      <c r="AR1376" s="103"/>
      <c r="AS1376" s="103"/>
      <c r="AT1376" s="103"/>
      <c r="AU1376" s="103"/>
      <c r="AV1376" s="103"/>
      <c r="AW1376" s="104" t="str">
        <f>HYPERLINK("http://www.openstreetmap.org/?mlat=36.4908&amp;mlon=43.3078&amp;zoom=12#map=12/36.4908/43.3078","Maplink1")</f>
        <v>Maplink1</v>
      </c>
      <c r="AX1376" s="104" t="str">
        <f>HYPERLINK("https://www.google.iq/maps/search/+36.4908,43.3078/@36.4908,43.3078,14z?hl=en","Maplink2")</f>
        <v>Maplink2</v>
      </c>
      <c r="AY1376" s="104" t="str">
        <f>HYPERLINK("http://www.bing.com/maps/?lvl=14&amp;sty=h&amp;cp=36.4908~43.3078&amp;sp=point.36.4908_43.3078","Maplink3")</f>
        <v>Maplink3</v>
      </c>
    </row>
    <row r="1377" spans="1:51" x14ac:dyDescent="0.2">
      <c r="A1377" s="102">
        <v>33251</v>
      </c>
      <c r="B1377" s="103" t="s">
        <v>35</v>
      </c>
      <c r="C1377" s="103" t="s">
        <v>102</v>
      </c>
      <c r="D1377" s="103" t="s">
        <v>1954</v>
      </c>
      <c r="E1377" s="103" t="s">
        <v>2657</v>
      </c>
      <c r="F1377" s="103">
        <v>36.344143209999999</v>
      </c>
      <c r="G1377" s="103">
        <v>43.1041292086</v>
      </c>
      <c r="H1377" s="102">
        <v>1476</v>
      </c>
      <c r="I1377" s="102">
        <v>8856</v>
      </c>
      <c r="J1377" s="103"/>
      <c r="K1377" s="103"/>
      <c r="L1377" s="103"/>
      <c r="M1377" s="103">
        <v>1476</v>
      </c>
      <c r="N1377" s="103"/>
      <c r="O1377" s="103"/>
      <c r="P1377" s="103"/>
      <c r="Q1377" s="103"/>
      <c r="R1377" s="103"/>
      <c r="S1377" s="103"/>
      <c r="T1377" s="103"/>
      <c r="U1377" s="103"/>
      <c r="V1377" s="103"/>
      <c r="W1377" s="103"/>
      <c r="X1377" s="103"/>
      <c r="Y1377" s="103"/>
      <c r="Z1377" s="103"/>
      <c r="AA1377" s="103"/>
      <c r="AB1377" s="103"/>
      <c r="AC1377" s="103"/>
      <c r="AD1377" s="103"/>
      <c r="AE1377" s="103"/>
      <c r="AF1377" s="103"/>
      <c r="AG1377" s="103">
        <v>1476</v>
      </c>
      <c r="AH1377" s="103"/>
      <c r="AI1377" s="103"/>
      <c r="AJ1377" s="103"/>
      <c r="AK1377" s="103"/>
      <c r="AL1377" s="103"/>
      <c r="AM1377" s="103"/>
      <c r="AN1377" s="103"/>
      <c r="AO1377" s="103"/>
      <c r="AP1377" s="103"/>
      <c r="AQ1377" s="103"/>
      <c r="AR1377" s="103"/>
      <c r="AS1377" s="103">
        <v>1476</v>
      </c>
      <c r="AT1377" s="103"/>
      <c r="AU1377" s="103"/>
      <c r="AV1377" s="103"/>
      <c r="AW1377" s="104" t="str">
        <f>HYPERLINK("http://www.openstreetmap.org/?mlat=36.3441&amp;mlon=43.1041&amp;zoom=12#map=12/36.3441/43.1041","Maplink1")</f>
        <v>Maplink1</v>
      </c>
      <c r="AX1377" s="104" t="str">
        <f>HYPERLINK("https://www.google.iq/maps/search/+36.3441,43.1041/@36.3441,43.1041,14z?hl=en","Maplink2")</f>
        <v>Maplink2</v>
      </c>
      <c r="AY1377" s="104" t="str">
        <f>HYPERLINK("http://www.bing.com/maps/?lvl=14&amp;sty=h&amp;cp=36.3441~43.1041&amp;sp=point.36.3441_43.1041","Maplink3")</f>
        <v>Maplink3</v>
      </c>
    </row>
    <row r="1378" spans="1:51" x14ac:dyDescent="0.2">
      <c r="A1378" s="102">
        <v>21000</v>
      </c>
      <c r="B1378" s="103" t="s">
        <v>35</v>
      </c>
      <c r="C1378" s="103" t="s">
        <v>102</v>
      </c>
      <c r="D1378" s="103" t="s">
        <v>2658</v>
      </c>
      <c r="E1378" s="103" t="s">
        <v>2659</v>
      </c>
      <c r="F1378" s="103">
        <v>36.320132000000001</v>
      </c>
      <c r="G1378" s="103">
        <v>43.134750651499999</v>
      </c>
      <c r="H1378" s="102">
        <v>498</v>
      </c>
      <c r="I1378" s="102">
        <v>2988</v>
      </c>
      <c r="J1378" s="103"/>
      <c r="K1378" s="103"/>
      <c r="L1378" s="103"/>
      <c r="M1378" s="103">
        <v>498</v>
      </c>
      <c r="N1378" s="103"/>
      <c r="O1378" s="103"/>
      <c r="P1378" s="103"/>
      <c r="Q1378" s="103"/>
      <c r="R1378" s="103"/>
      <c r="S1378" s="103"/>
      <c r="T1378" s="103"/>
      <c r="U1378" s="103"/>
      <c r="V1378" s="103"/>
      <c r="W1378" s="103"/>
      <c r="X1378" s="103"/>
      <c r="Y1378" s="103"/>
      <c r="Z1378" s="103"/>
      <c r="AA1378" s="103"/>
      <c r="AB1378" s="103"/>
      <c r="AC1378" s="103"/>
      <c r="AD1378" s="103"/>
      <c r="AE1378" s="103"/>
      <c r="AF1378" s="103"/>
      <c r="AG1378" s="103">
        <v>498</v>
      </c>
      <c r="AH1378" s="103"/>
      <c r="AI1378" s="103"/>
      <c r="AJ1378" s="103"/>
      <c r="AK1378" s="103"/>
      <c r="AL1378" s="103"/>
      <c r="AM1378" s="103"/>
      <c r="AN1378" s="103"/>
      <c r="AO1378" s="103"/>
      <c r="AP1378" s="103"/>
      <c r="AQ1378" s="103"/>
      <c r="AR1378" s="103"/>
      <c r="AS1378" s="103">
        <v>498</v>
      </c>
      <c r="AT1378" s="103"/>
      <c r="AU1378" s="103"/>
      <c r="AV1378" s="103"/>
      <c r="AW1378" s="104" t="str">
        <f>HYPERLINK("http://www.openstreetmap.org/?mlat=36.3201&amp;mlon=43.1348&amp;zoom=12#map=12/36.3201/43.1348","Maplink1")</f>
        <v>Maplink1</v>
      </c>
      <c r="AX1378" s="104" t="str">
        <f>HYPERLINK("https://www.google.iq/maps/search/+36.3201,43.1348/@36.3201,43.1348,14z?hl=en","Maplink2")</f>
        <v>Maplink2</v>
      </c>
      <c r="AY1378" s="104" t="str">
        <f>HYPERLINK("http://www.bing.com/maps/?lvl=14&amp;sty=h&amp;cp=36.3201~43.1348&amp;sp=point.36.3201_43.1348","Maplink3")</f>
        <v>Maplink3</v>
      </c>
    </row>
    <row r="1379" spans="1:51" x14ac:dyDescent="0.2">
      <c r="A1379" s="102">
        <v>33308</v>
      </c>
      <c r="B1379" s="103" t="s">
        <v>35</v>
      </c>
      <c r="C1379" s="103" t="s">
        <v>102</v>
      </c>
      <c r="D1379" s="103" t="s">
        <v>2660</v>
      </c>
      <c r="E1379" s="103" t="s">
        <v>2661</v>
      </c>
      <c r="F1379" s="103">
        <v>36.337867000000003</v>
      </c>
      <c r="G1379" s="103">
        <v>43.132643000000002</v>
      </c>
      <c r="H1379" s="102">
        <v>161</v>
      </c>
      <c r="I1379" s="102">
        <v>966</v>
      </c>
      <c r="J1379" s="103"/>
      <c r="K1379" s="103"/>
      <c r="L1379" s="103"/>
      <c r="M1379" s="103">
        <v>110</v>
      </c>
      <c r="N1379" s="103">
        <v>51</v>
      </c>
      <c r="O1379" s="103"/>
      <c r="P1379" s="103"/>
      <c r="Q1379" s="103"/>
      <c r="R1379" s="103"/>
      <c r="S1379" s="103"/>
      <c r="T1379" s="103"/>
      <c r="U1379" s="103"/>
      <c r="V1379" s="103"/>
      <c r="W1379" s="103"/>
      <c r="X1379" s="103"/>
      <c r="Y1379" s="103"/>
      <c r="Z1379" s="103"/>
      <c r="AA1379" s="103"/>
      <c r="AB1379" s="103"/>
      <c r="AC1379" s="103"/>
      <c r="AD1379" s="103"/>
      <c r="AE1379" s="103"/>
      <c r="AF1379" s="103"/>
      <c r="AG1379" s="103">
        <v>161</v>
      </c>
      <c r="AH1379" s="103"/>
      <c r="AI1379" s="103"/>
      <c r="AJ1379" s="103"/>
      <c r="AK1379" s="103"/>
      <c r="AL1379" s="103"/>
      <c r="AM1379" s="103"/>
      <c r="AN1379" s="103"/>
      <c r="AO1379" s="103"/>
      <c r="AP1379" s="103"/>
      <c r="AQ1379" s="103"/>
      <c r="AR1379" s="103"/>
      <c r="AS1379" s="103">
        <v>161</v>
      </c>
      <c r="AT1379" s="103"/>
      <c r="AU1379" s="103"/>
      <c r="AV1379" s="103"/>
      <c r="AW1379" s="104" t="str">
        <f>HYPERLINK("http://www.openstreetmap.org/?mlat=36.3379&amp;mlon=43.1326&amp;zoom=12#map=12/36.3379/43.1326","Maplink1")</f>
        <v>Maplink1</v>
      </c>
      <c r="AX1379" s="104" t="str">
        <f>HYPERLINK("https://www.google.iq/maps/search/+36.3379,43.1326/@36.3379,43.1326,14z?hl=en","Maplink2")</f>
        <v>Maplink2</v>
      </c>
      <c r="AY1379" s="104" t="str">
        <f>HYPERLINK("http://www.bing.com/maps/?lvl=14&amp;sty=h&amp;cp=36.3379~43.1326&amp;sp=point.36.3379_43.1326","Maplink3")</f>
        <v>Maplink3</v>
      </c>
    </row>
    <row r="1380" spans="1:51" x14ac:dyDescent="0.2">
      <c r="A1380" s="102">
        <v>17805</v>
      </c>
      <c r="B1380" s="103" t="s">
        <v>35</v>
      </c>
      <c r="C1380" s="103" t="s">
        <v>102</v>
      </c>
      <c r="D1380" s="103" t="s">
        <v>2662</v>
      </c>
      <c r="E1380" s="103" t="s">
        <v>2663</v>
      </c>
      <c r="F1380" s="103">
        <v>36.36074</v>
      </c>
      <c r="G1380" s="103">
        <v>42.795766497300001</v>
      </c>
      <c r="H1380" s="102">
        <v>160</v>
      </c>
      <c r="I1380" s="102">
        <v>960</v>
      </c>
      <c r="J1380" s="103"/>
      <c r="K1380" s="103"/>
      <c r="L1380" s="103"/>
      <c r="M1380" s="103">
        <v>136</v>
      </c>
      <c r="N1380" s="103">
        <v>24</v>
      </c>
      <c r="O1380" s="103"/>
      <c r="P1380" s="103"/>
      <c r="Q1380" s="103"/>
      <c r="R1380" s="103"/>
      <c r="S1380" s="103"/>
      <c r="T1380" s="103"/>
      <c r="U1380" s="103"/>
      <c r="V1380" s="103"/>
      <c r="W1380" s="103"/>
      <c r="X1380" s="103"/>
      <c r="Y1380" s="103"/>
      <c r="Z1380" s="103"/>
      <c r="AA1380" s="103"/>
      <c r="AB1380" s="103"/>
      <c r="AC1380" s="103"/>
      <c r="AD1380" s="103"/>
      <c r="AE1380" s="103"/>
      <c r="AF1380" s="103"/>
      <c r="AG1380" s="103">
        <v>160</v>
      </c>
      <c r="AH1380" s="103"/>
      <c r="AI1380" s="103"/>
      <c r="AJ1380" s="103"/>
      <c r="AK1380" s="103"/>
      <c r="AL1380" s="103"/>
      <c r="AM1380" s="103"/>
      <c r="AN1380" s="103"/>
      <c r="AO1380" s="103"/>
      <c r="AP1380" s="103"/>
      <c r="AQ1380" s="103"/>
      <c r="AR1380" s="103"/>
      <c r="AS1380" s="103">
        <v>160</v>
      </c>
      <c r="AT1380" s="103"/>
      <c r="AU1380" s="103"/>
      <c r="AV1380" s="103"/>
      <c r="AW1380" s="104" t="str">
        <f>HYPERLINK("http://www.openstreetmap.org/?mlat=36.3607&amp;mlon=42.7958&amp;zoom=12#map=12/36.3607/42.7958","Maplink1")</f>
        <v>Maplink1</v>
      </c>
      <c r="AX1380" s="104" t="str">
        <f>HYPERLINK("https://www.google.iq/maps/search/+36.3607,42.7958/@36.3607,42.7958,14z?hl=en","Maplink2")</f>
        <v>Maplink2</v>
      </c>
      <c r="AY1380" s="104" t="str">
        <f>HYPERLINK("http://www.bing.com/maps/?lvl=14&amp;sty=h&amp;cp=36.3607~42.7958&amp;sp=point.36.3607_42.7958","Maplink3")</f>
        <v>Maplink3</v>
      </c>
    </row>
    <row r="1381" spans="1:51" x14ac:dyDescent="0.2">
      <c r="A1381" s="102">
        <v>33365</v>
      </c>
      <c r="B1381" s="103" t="s">
        <v>35</v>
      </c>
      <c r="C1381" s="103" t="s">
        <v>102</v>
      </c>
      <c r="D1381" s="103" t="s">
        <v>2664</v>
      </c>
      <c r="E1381" s="103" t="s">
        <v>2665</v>
      </c>
      <c r="F1381" s="103">
        <v>36.375925000000002</v>
      </c>
      <c r="G1381" s="103">
        <v>42.733277000000001</v>
      </c>
      <c r="H1381" s="102">
        <v>118</v>
      </c>
      <c r="I1381" s="102">
        <v>708</v>
      </c>
      <c r="J1381" s="103"/>
      <c r="K1381" s="103"/>
      <c r="L1381" s="103"/>
      <c r="M1381" s="103">
        <v>95</v>
      </c>
      <c r="N1381" s="103">
        <v>23</v>
      </c>
      <c r="O1381" s="103"/>
      <c r="P1381" s="103"/>
      <c r="Q1381" s="103"/>
      <c r="R1381" s="103"/>
      <c r="S1381" s="103"/>
      <c r="T1381" s="103"/>
      <c r="U1381" s="103"/>
      <c r="V1381" s="103"/>
      <c r="W1381" s="103"/>
      <c r="X1381" s="103"/>
      <c r="Y1381" s="103"/>
      <c r="Z1381" s="103"/>
      <c r="AA1381" s="103"/>
      <c r="AB1381" s="103"/>
      <c r="AC1381" s="103"/>
      <c r="AD1381" s="103"/>
      <c r="AE1381" s="103"/>
      <c r="AF1381" s="103"/>
      <c r="AG1381" s="103">
        <v>118</v>
      </c>
      <c r="AH1381" s="103"/>
      <c r="AI1381" s="103"/>
      <c r="AJ1381" s="103"/>
      <c r="AK1381" s="103"/>
      <c r="AL1381" s="103"/>
      <c r="AM1381" s="103"/>
      <c r="AN1381" s="103"/>
      <c r="AO1381" s="103"/>
      <c r="AP1381" s="103"/>
      <c r="AQ1381" s="103"/>
      <c r="AR1381" s="103">
        <v>118</v>
      </c>
      <c r="AS1381" s="103"/>
      <c r="AT1381" s="103"/>
      <c r="AU1381" s="103"/>
      <c r="AV1381" s="103"/>
      <c r="AW1381" s="104" t="str">
        <f>HYPERLINK("http://www.openstreetmap.org/?mlat=36.3759&amp;mlon=42.7333&amp;zoom=12#map=12/36.3759/42.7333","Maplink1")</f>
        <v>Maplink1</v>
      </c>
      <c r="AX1381" s="104" t="str">
        <f>HYPERLINK("https://www.google.iq/maps/search/+36.3759,42.7333/@36.3759,42.7333,14z?hl=en","Maplink2")</f>
        <v>Maplink2</v>
      </c>
      <c r="AY1381" s="104" t="str">
        <f>HYPERLINK("http://www.bing.com/maps/?lvl=14&amp;sty=h&amp;cp=36.3759~42.7333&amp;sp=point.36.3759_42.7333","Maplink3")</f>
        <v>Maplink3</v>
      </c>
    </row>
    <row r="1382" spans="1:51" x14ac:dyDescent="0.2">
      <c r="A1382" s="102">
        <v>17128</v>
      </c>
      <c r="B1382" s="103" t="s">
        <v>35</v>
      </c>
      <c r="C1382" s="103" t="s">
        <v>102</v>
      </c>
      <c r="D1382" s="103" t="s">
        <v>2455</v>
      </c>
      <c r="E1382" s="103" t="s">
        <v>2456</v>
      </c>
      <c r="F1382" s="103">
        <v>36.167588112799997</v>
      </c>
      <c r="G1382" s="103">
        <v>43.254947884899998</v>
      </c>
      <c r="H1382" s="102">
        <v>100</v>
      </c>
      <c r="I1382" s="102">
        <v>600</v>
      </c>
      <c r="J1382" s="103"/>
      <c r="K1382" s="103"/>
      <c r="L1382" s="103"/>
      <c r="M1382" s="103">
        <v>75</v>
      </c>
      <c r="N1382" s="103">
        <v>25</v>
      </c>
      <c r="O1382" s="103"/>
      <c r="P1382" s="103"/>
      <c r="Q1382" s="103"/>
      <c r="R1382" s="103"/>
      <c r="S1382" s="103"/>
      <c r="T1382" s="103"/>
      <c r="U1382" s="103"/>
      <c r="V1382" s="103"/>
      <c r="W1382" s="103"/>
      <c r="X1382" s="103"/>
      <c r="Y1382" s="103"/>
      <c r="Z1382" s="103"/>
      <c r="AA1382" s="103">
        <v>5</v>
      </c>
      <c r="AB1382" s="103"/>
      <c r="AC1382" s="103">
        <v>10</v>
      </c>
      <c r="AD1382" s="103"/>
      <c r="AE1382" s="103"/>
      <c r="AF1382" s="103"/>
      <c r="AG1382" s="103">
        <v>85</v>
      </c>
      <c r="AH1382" s="103"/>
      <c r="AI1382" s="103"/>
      <c r="AJ1382" s="103"/>
      <c r="AK1382" s="103"/>
      <c r="AL1382" s="103"/>
      <c r="AM1382" s="103"/>
      <c r="AN1382" s="103"/>
      <c r="AO1382" s="103"/>
      <c r="AP1382" s="103">
        <v>10</v>
      </c>
      <c r="AQ1382" s="103"/>
      <c r="AR1382" s="103"/>
      <c r="AS1382" s="103">
        <v>90</v>
      </c>
      <c r="AT1382" s="103"/>
      <c r="AU1382" s="103"/>
      <c r="AV1382" s="103"/>
      <c r="AW1382" s="104" t="str">
        <f>HYPERLINK("http://www.openstreetmap.org/?mlat=36.1676&amp;mlon=43.2549&amp;zoom=12#map=12/36.1676/43.2549","Maplink1")</f>
        <v>Maplink1</v>
      </c>
      <c r="AX1382" s="104" t="str">
        <f>HYPERLINK("https://www.google.iq/maps/search/+36.1676,43.2549/@36.1676,43.2549,14z?hl=en","Maplink2")</f>
        <v>Maplink2</v>
      </c>
      <c r="AY1382" s="104" t="str">
        <f>HYPERLINK("http://www.bing.com/maps/?lvl=14&amp;sty=h&amp;cp=36.1676~43.2549&amp;sp=point.36.1676_43.2549","Maplink3")</f>
        <v>Maplink3</v>
      </c>
    </row>
    <row r="1383" spans="1:51" x14ac:dyDescent="0.2">
      <c r="A1383" s="102">
        <v>29662</v>
      </c>
      <c r="B1383" s="103" t="s">
        <v>35</v>
      </c>
      <c r="C1383" s="103" t="s">
        <v>102</v>
      </c>
      <c r="D1383" s="103" t="s">
        <v>2457</v>
      </c>
      <c r="E1383" s="103" t="s">
        <v>2458</v>
      </c>
      <c r="F1383" s="103">
        <v>35.838299999999997</v>
      </c>
      <c r="G1383" s="103">
        <v>43.328351871999999</v>
      </c>
      <c r="H1383" s="102">
        <v>316</v>
      </c>
      <c r="I1383" s="102">
        <v>1896</v>
      </c>
      <c r="J1383" s="103"/>
      <c r="K1383" s="103"/>
      <c r="L1383" s="103"/>
      <c r="M1383" s="103">
        <v>316</v>
      </c>
      <c r="N1383" s="103"/>
      <c r="O1383" s="103"/>
      <c r="P1383" s="103"/>
      <c r="Q1383" s="103"/>
      <c r="R1383" s="103"/>
      <c r="S1383" s="103"/>
      <c r="T1383" s="103"/>
      <c r="U1383" s="103"/>
      <c r="V1383" s="103"/>
      <c r="W1383" s="103"/>
      <c r="X1383" s="103"/>
      <c r="Y1383" s="103"/>
      <c r="Z1383" s="103"/>
      <c r="AA1383" s="103">
        <v>307</v>
      </c>
      <c r="AB1383" s="103"/>
      <c r="AC1383" s="103">
        <v>9</v>
      </c>
      <c r="AD1383" s="103"/>
      <c r="AE1383" s="103"/>
      <c r="AF1383" s="103"/>
      <c r="AG1383" s="103"/>
      <c r="AH1383" s="103"/>
      <c r="AI1383" s="103"/>
      <c r="AJ1383" s="103"/>
      <c r="AK1383" s="103"/>
      <c r="AL1383" s="103"/>
      <c r="AM1383" s="103"/>
      <c r="AN1383" s="103"/>
      <c r="AO1383" s="103"/>
      <c r="AP1383" s="103">
        <v>8</v>
      </c>
      <c r="AQ1383" s="103">
        <v>308</v>
      </c>
      <c r="AR1383" s="103"/>
      <c r="AS1383" s="103"/>
      <c r="AT1383" s="103"/>
      <c r="AU1383" s="103"/>
      <c r="AV1383" s="103"/>
      <c r="AW1383" s="104" t="str">
        <f>HYPERLINK("http://www.openstreetmap.org/?mlat=35.8383&amp;mlon=43.3284&amp;zoom=12#map=12/35.8383/43.3284","Maplink1")</f>
        <v>Maplink1</v>
      </c>
      <c r="AX1383" s="104" t="str">
        <f>HYPERLINK("https://www.google.iq/maps/search/+35.8383,43.3284/@35.8383,43.3284,14z?hl=en","Maplink2")</f>
        <v>Maplink2</v>
      </c>
      <c r="AY1383" s="104" t="str">
        <f>HYPERLINK("http://www.bing.com/maps/?lvl=14&amp;sty=h&amp;cp=35.8383~43.3284&amp;sp=point.35.8383_43.3284","Maplink3")</f>
        <v>Maplink3</v>
      </c>
    </row>
    <row r="1384" spans="1:51" x14ac:dyDescent="0.2">
      <c r="A1384" s="102">
        <v>17505</v>
      </c>
      <c r="B1384" s="103" t="s">
        <v>35</v>
      </c>
      <c r="C1384" s="103" t="s">
        <v>102</v>
      </c>
      <c r="D1384" s="103" t="s">
        <v>2459</v>
      </c>
      <c r="E1384" s="103" t="s">
        <v>2460</v>
      </c>
      <c r="F1384" s="103">
        <v>35.931418000000001</v>
      </c>
      <c r="G1384" s="103">
        <v>43.317836</v>
      </c>
      <c r="H1384" s="102">
        <v>250</v>
      </c>
      <c r="I1384" s="102">
        <v>1500</v>
      </c>
      <c r="J1384" s="103"/>
      <c r="K1384" s="103"/>
      <c r="L1384" s="103"/>
      <c r="M1384" s="103">
        <v>230</v>
      </c>
      <c r="N1384" s="103">
        <v>20</v>
      </c>
      <c r="O1384" s="103"/>
      <c r="P1384" s="103"/>
      <c r="Q1384" s="103"/>
      <c r="R1384" s="103"/>
      <c r="S1384" s="103"/>
      <c r="T1384" s="103"/>
      <c r="U1384" s="103"/>
      <c r="V1384" s="103"/>
      <c r="W1384" s="103"/>
      <c r="X1384" s="103"/>
      <c r="Y1384" s="103"/>
      <c r="Z1384" s="103"/>
      <c r="AA1384" s="103"/>
      <c r="AB1384" s="103"/>
      <c r="AC1384" s="103"/>
      <c r="AD1384" s="103"/>
      <c r="AE1384" s="103"/>
      <c r="AF1384" s="103"/>
      <c r="AG1384" s="103">
        <v>250</v>
      </c>
      <c r="AH1384" s="103"/>
      <c r="AI1384" s="103"/>
      <c r="AJ1384" s="103"/>
      <c r="AK1384" s="103"/>
      <c r="AL1384" s="103"/>
      <c r="AM1384" s="103"/>
      <c r="AN1384" s="103"/>
      <c r="AO1384" s="103"/>
      <c r="AP1384" s="103"/>
      <c r="AQ1384" s="103"/>
      <c r="AR1384" s="103"/>
      <c r="AS1384" s="103">
        <v>250</v>
      </c>
      <c r="AT1384" s="103"/>
      <c r="AU1384" s="103"/>
      <c r="AV1384" s="103"/>
      <c r="AW1384" s="104" t="str">
        <f>HYPERLINK("http://www.openstreetmap.org/?mlat=35.9314&amp;mlon=43.3178&amp;zoom=12#map=12/35.9314/43.3178","Maplink1")</f>
        <v>Maplink1</v>
      </c>
      <c r="AX1384" s="104" t="str">
        <f>HYPERLINK("https://www.google.iq/maps/search/+35.9314,43.3178/@35.9314,43.3178,14z?hl=en","Maplink2")</f>
        <v>Maplink2</v>
      </c>
      <c r="AY1384" s="104" t="str">
        <f>HYPERLINK("http://www.bing.com/maps/?lvl=14&amp;sty=h&amp;cp=35.9314~43.3178&amp;sp=point.35.9314_43.3178","Maplink3")</f>
        <v>Maplink3</v>
      </c>
    </row>
    <row r="1385" spans="1:51" x14ac:dyDescent="0.2">
      <c r="A1385" s="102">
        <v>18323</v>
      </c>
      <c r="B1385" s="103" t="s">
        <v>35</v>
      </c>
      <c r="C1385" s="103" t="s">
        <v>102</v>
      </c>
      <c r="D1385" s="103" t="s">
        <v>2461</v>
      </c>
      <c r="E1385" s="103" t="s">
        <v>2462</v>
      </c>
      <c r="F1385" s="103">
        <v>36.370121572599999</v>
      </c>
      <c r="G1385" s="103">
        <v>43.177421766000002</v>
      </c>
      <c r="H1385" s="102">
        <v>262</v>
      </c>
      <c r="I1385" s="102">
        <v>1572</v>
      </c>
      <c r="J1385" s="103"/>
      <c r="K1385" s="103"/>
      <c r="L1385" s="103"/>
      <c r="M1385" s="103">
        <v>262</v>
      </c>
      <c r="N1385" s="103"/>
      <c r="O1385" s="103"/>
      <c r="P1385" s="103"/>
      <c r="Q1385" s="103"/>
      <c r="R1385" s="103"/>
      <c r="S1385" s="103"/>
      <c r="T1385" s="103"/>
      <c r="U1385" s="103"/>
      <c r="V1385" s="103"/>
      <c r="W1385" s="103">
        <v>19</v>
      </c>
      <c r="X1385" s="103"/>
      <c r="Y1385" s="103">
        <v>25</v>
      </c>
      <c r="Z1385" s="103"/>
      <c r="AA1385" s="103">
        <v>26</v>
      </c>
      <c r="AB1385" s="103"/>
      <c r="AC1385" s="103"/>
      <c r="AD1385" s="103"/>
      <c r="AE1385" s="103"/>
      <c r="AF1385" s="103"/>
      <c r="AG1385" s="103">
        <v>188</v>
      </c>
      <c r="AH1385" s="103"/>
      <c r="AI1385" s="103"/>
      <c r="AJ1385" s="103">
        <v>4</v>
      </c>
      <c r="AK1385" s="103"/>
      <c r="AL1385" s="103"/>
      <c r="AM1385" s="103"/>
      <c r="AN1385" s="103">
        <v>74</v>
      </c>
      <c r="AO1385" s="103"/>
      <c r="AP1385" s="103"/>
      <c r="AQ1385" s="103"/>
      <c r="AR1385" s="103"/>
      <c r="AS1385" s="103">
        <v>188</v>
      </c>
      <c r="AT1385" s="103"/>
      <c r="AU1385" s="103"/>
      <c r="AV1385" s="103"/>
      <c r="AW1385" s="104" t="str">
        <f>HYPERLINK("http://www.openstreetmap.org/?mlat=36.3701&amp;mlon=43.1774&amp;zoom=12#map=12/36.3701/43.1774","Maplink1")</f>
        <v>Maplink1</v>
      </c>
      <c r="AX1385" s="104" t="str">
        <f>HYPERLINK("https://www.google.iq/maps/search/+36.3701,43.1774/@36.3701,43.1774,14z?hl=en","Maplink2")</f>
        <v>Maplink2</v>
      </c>
      <c r="AY1385" s="104" t="str">
        <f>HYPERLINK("http://www.bing.com/maps/?lvl=14&amp;sty=h&amp;cp=36.3701~43.1774&amp;sp=point.36.3701_43.1774","Maplink3")</f>
        <v>Maplink3</v>
      </c>
    </row>
    <row r="1386" spans="1:51" x14ac:dyDescent="0.2">
      <c r="A1386" s="102">
        <v>17747</v>
      </c>
      <c r="B1386" s="103" t="s">
        <v>35</v>
      </c>
      <c r="C1386" s="103" t="s">
        <v>102</v>
      </c>
      <c r="D1386" s="103" t="s">
        <v>2463</v>
      </c>
      <c r="E1386" s="103" t="s">
        <v>2464</v>
      </c>
      <c r="F1386" s="103">
        <v>36.12397</v>
      </c>
      <c r="G1386" s="103">
        <v>43.073706692199998</v>
      </c>
      <c r="H1386" s="102">
        <v>78</v>
      </c>
      <c r="I1386" s="102">
        <v>468</v>
      </c>
      <c r="J1386" s="103"/>
      <c r="K1386" s="103"/>
      <c r="L1386" s="103"/>
      <c r="M1386" s="103">
        <v>76</v>
      </c>
      <c r="N1386" s="103">
        <v>2</v>
      </c>
      <c r="O1386" s="103"/>
      <c r="P1386" s="103"/>
      <c r="Q1386" s="103"/>
      <c r="R1386" s="103"/>
      <c r="S1386" s="103"/>
      <c r="T1386" s="103"/>
      <c r="U1386" s="103"/>
      <c r="V1386" s="103"/>
      <c r="W1386" s="103"/>
      <c r="X1386" s="103"/>
      <c r="Y1386" s="103"/>
      <c r="Z1386" s="103"/>
      <c r="AA1386" s="103"/>
      <c r="AB1386" s="103"/>
      <c r="AC1386" s="103"/>
      <c r="AD1386" s="103"/>
      <c r="AE1386" s="103"/>
      <c r="AF1386" s="103"/>
      <c r="AG1386" s="103">
        <v>78</v>
      </c>
      <c r="AH1386" s="103"/>
      <c r="AI1386" s="103"/>
      <c r="AJ1386" s="103"/>
      <c r="AK1386" s="103"/>
      <c r="AL1386" s="103"/>
      <c r="AM1386" s="103"/>
      <c r="AN1386" s="103"/>
      <c r="AO1386" s="103"/>
      <c r="AP1386" s="103"/>
      <c r="AQ1386" s="103"/>
      <c r="AR1386" s="103"/>
      <c r="AS1386" s="103">
        <v>78</v>
      </c>
      <c r="AT1386" s="103"/>
      <c r="AU1386" s="103"/>
      <c r="AV1386" s="103"/>
      <c r="AW1386" s="104" t="str">
        <f>HYPERLINK("http://www.openstreetmap.org/?mlat=36.124&amp;mlon=43.0737&amp;zoom=12#map=12/36.124/43.0737","Maplink1")</f>
        <v>Maplink1</v>
      </c>
      <c r="AX1386" s="104" t="str">
        <f>HYPERLINK("https://www.google.iq/maps/search/+36.124,43.0737/@36.124,43.0737,14z?hl=en","Maplink2")</f>
        <v>Maplink2</v>
      </c>
      <c r="AY1386" s="104" t="str">
        <f>HYPERLINK("http://www.bing.com/maps/?lvl=14&amp;sty=h&amp;cp=36.124~43.0737&amp;sp=point.36.124_43.0737","Maplink3")</f>
        <v>Maplink3</v>
      </c>
    </row>
    <row r="1387" spans="1:51" x14ac:dyDescent="0.2">
      <c r="A1387" s="102">
        <v>33118</v>
      </c>
      <c r="B1387" s="103" t="s">
        <v>35</v>
      </c>
      <c r="C1387" s="103" t="s">
        <v>102</v>
      </c>
      <c r="D1387" s="103" t="s">
        <v>2465</v>
      </c>
      <c r="E1387" s="103" t="s">
        <v>2466</v>
      </c>
      <c r="F1387" s="103">
        <v>36.250008999999999</v>
      </c>
      <c r="G1387" s="103">
        <v>43.130949613699997</v>
      </c>
      <c r="H1387" s="102">
        <v>16</v>
      </c>
      <c r="I1387" s="102">
        <v>96</v>
      </c>
      <c r="J1387" s="103"/>
      <c r="K1387" s="103"/>
      <c r="L1387" s="103"/>
      <c r="M1387" s="103">
        <v>16</v>
      </c>
      <c r="N1387" s="103"/>
      <c r="O1387" s="103"/>
      <c r="P1387" s="103"/>
      <c r="Q1387" s="103"/>
      <c r="R1387" s="103"/>
      <c r="S1387" s="103"/>
      <c r="T1387" s="103"/>
      <c r="U1387" s="103"/>
      <c r="V1387" s="103"/>
      <c r="W1387" s="103"/>
      <c r="X1387" s="103"/>
      <c r="Y1387" s="103"/>
      <c r="Z1387" s="103"/>
      <c r="AA1387" s="103"/>
      <c r="AB1387" s="103"/>
      <c r="AC1387" s="103"/>
      <c r="AD1387" s="103"/>
      <c r="AE1387" s="103"/>
      <c r="AF1387" s="103"/>
      <c r="AG1387" s="103">
        <v>16</v>
      </c>
      <c r="AH1387" s="103"/>
      <c r="AI1387" s="103"/>
      <c r="AJ1387" s="103"/>
      <c r="AK1387" s="103"/>
      <c r="AL1387" s="103"/>
      <c r="AM1387" s="103"/>
      <c r="AN1387" s="103"/>
      <c r="AO1387" s="103"/>
      <c r="AP1387" s="103"/>
      <c r="AQ1387" s="103"/>
      <c r="AR1387" s="103"/>
      <c r="AS1387" s="103">
        <v>16</v>
      </c>
      <c r="AT1387" s="103"/>
      <c r="AU1387" s="103"/>
      <c r="AV1387" s="103"/>
      <c r="AW1387" s="104" t="str">
        <f>HYPERLINK("http://www.openstreetmap.org/?mlat=36.25&amp;mlon=43.1309&amp;zoom=12#map=12/36.25/43.1309","Maplink1")</f>
        <v>Maplink1</v>
      </c>
      <c r="AX1387" s="104" t="str">
        <f>HYPERLINK("https://www.google.iq/maps/search/+36.25,43.1309/@36.25,43.1309,14z?hl=en","Maplink2")</f>
        <v>Maplink2</v>
      </c>
      <c r="AY1387" s="104" t="str">
        <f>HYPERLINK("http://www.bing.com/maps/?lvl=14&amp;sty=h&amp;cp=36.25~43.1309&amp;sp=point.36.25_43.1309","Maplink3")</f>
        <v>Maplink3</v>
      </c>
    </row>
    <row r="1388" spans="1:51" x14ac:dyDescent="0.2">
      <c r="A1388" s="102">
        <v>18341</v>
      </c>
      <c r="B1388" s="103" t="s">
        <v>35</v>
      </c>
      <c r="C1388" s="103" t="s">
        <v>102</v>
      </c>
      <c r="D1388" s="103" t="s">
        <v>2467</v>
      </c>
      <c r="E1388" s="103" t="s">
        <v>2468</v>
      </c>
      <c r="F1388" s="103">
        <v>36.425204069999999</v>
      </c>
      <c r="G1388" s="103">
        <v>42.87798548</v>
      </c>
      <c r="H1388" s="102">
        <v>27</v>
      </c>
      <c r="I1388" s="102">
        <v>162</v>
      </c>
      <c r="J1388" s="103"/>
      <c r="K1388" s="103"/>
      <c r="L1388" s="103"/>
      <c r="M1388" s="103">
        <v>20</v>
      </c>
      <c r="N1388" s="103">
        <v>7</v>
      </c>
      <c r="O1388" s="103"/>
      <c r="P1388" s="103"/>
      <c r="Q1388" s="103"/>
      <c r="R1388" s="103"/>
      <c r="S1388" s="103"/>
      <c r="T1388" s="103"/>
      <c r="U1388" s="103"/>
      <c r="V1388" s="103"/>
      <c r="W1388" s="103"/>
      <c r="X1388" s="103"/>
      <c r="Y1388" s="103"/>
      <c r="Z1388" s="103"/>
      <c r="AA1388" s="103"/>
      <c r="AB1388" s="103"/>
      <c r="AC1388" s="103"/>
      <c r="AD1388" s="103"/>
      <c r="AE1388" s="103"/>
      <c r="AF1388" s="103"/>
      <c r="AG1388" s="103">
        <v>27</v>
      </c>
      <c r="AH1388" s="103"/>
      <c r="AI1388" s="103"/>
      <c r="AJ1388" s="103"/>
      <c r="AK1388" s="103"/>
      <c r="AL1388" s="103"/>
      <c r="AM1388" s="103"/>
      <c r="AN1388" s="103"/>
      <c r="AO1388" s="103"/>
      <c r="AP1388" s="103"/>
      <c r="AQ1388" s="103"/>
      <c r="AR1388" s="103"/>
      <c r="AS1388" s="103">
        <v>27</v>
      </c>
      <c r="AT1388" s="103"/>
      <c r="AU1388" s="103"/>
      <c r="AV1388" s="103"/>
      <c r="AW1388" s="104" t="str">
        <f>HYPERLINK("http://www.openstreetmap.org/?mlat=36.4252&amp;mlon=42.878&amp;zoom=12#map=12/36.4252/42.878","Maplink1")</f>
        <v>Maplink1</v>
      </c>
      <c r="AX1388" s="104" t="str">
        <f>HYPERLINK("https://www.google.iq/maps/search/+36.4252,42.878/@36.4252,42.878,14z?hl=en","Maplink2")</f>
        <v>Maplink2</v>
      </c>
      <c r="AY1388" s="104" t="str">
        <f>HYPERLINK("http://www.bing.com/maps/?lvl=14&amp;sty=h&amp;cp=36.4252~42.878&amp;sp=point.36.4252_42.878","Maplink3")</f>
        <v>Maplink3</v>
      </c>
    </row>
    <row r="1389" spans="1:51" x14ac:dyDescent="0.2">
      <c r="A1389" s="102">
        <v>24636</v>
      </c>
      <c r="B1389" s="103" t="s">
        <v>35</v>
      </c>
      <c r="C1389" s="103" t="s">
        <v>102</v>
      </c>
      <c r="D1389" s="103" t="s">
        <v>2434</v>
      </c>
      <c r="E1389" s="103" t="s">
        <v>654</v>
      </c>
      <c r="F1389" s="103">
        <v>36.373105699200003</v>
      </c>
      <c r="G1389" s="103">
        <v>43.080789265200004</v>
      </c>
      <c r="H1389" s="102">
        <v>921</v>
      </c>
      <c r="I1389" s="102">
        <v>5526</v>
      </c>
      <c r="J1389" s="103"/>
      <c r="K1389" s="103"/>
      <c r="L1389" s="103"/>
      <c r="M1389" s="103">
        <v>921</v>
      </c>
      <c r="N1389" s="103"/>
      <c r="O1389" s="103"/>
      <c r="P1389" s="103"/>
      <c r="Q1389" s="103"/>
      <c r="R1389" s="103"/>
      <c r="S1389" s="103"/>
      <c r="T1389" s="103"/>
      <c r="U1389" s="103"/>
      <c r="V1389" s="103"/>
      <c r="W1389" s="103">
        <v>25</v>
      </c>
      <c r="X1389" s="103"/>
      <c r="Y1389" s="103">
        <v>37</v>
      </c>
      <c r="Z1389" s="103"/>
      <c r="AA1389" s="103">
        <v>27</v>
      </c>
      <c r="AB1389" s="103"/>
      <c r="AC1389" s="103"/>
      <c r="AD1389" s="103"/>
      <c r="AE1389" s="103"/>
      <c r="AF1389" s="103"/>
      <c r="AG1389" s="103">
        <v>832</v>
      </c>
      <c r="AH1389" s="103"/>
      <c r="AI1389" s="103"/>
      <c r="AJ1389" s="103"/>
      <c r="AK1389" s="103"/>
      <c r="AL1389" s="103"/>
      <c r="AM1389" s="103"/>
      <c r="AN1389" s="103">
        <v>89</v>
      </c>
      <c r="AO1389" s="103"/>
      <c r="AP1389" s="103"/>
      <c r="AQ1389" s="103"/>
      <c r="AR1389" s="103"/>
      <c r="AS1389" s="103">
        <v>832</v>
      </c>
      <c r="AT1389" s="103"/>
      <c r="AU1389" s="103"/>
      <c r="AV1389" s="103"/>
      <c r="AW1389" s="104" t="str">
        <f>HYPERLINK("http://www.openstreetmap.org/?mlat=36.3731&amp;mlon=43.0808&amp;zoom=12#map=12/36.3731/43.0808","Maplink1")</f>
        <v>Maplink1</v>
      </c>
      <c r="AX1389" s="104" t="str">
        <f>HYPERLINK("https://www.google.iq/maps/search/+36.3731,43.0808/@36.3731,43.0808,14z?hl=en","Maplink2")</f>
        <v>Maplink2</v>
      </c>
      <c r="AY1389" s="104" t="str">
        <f>HYPERLINK("http://www.bing.com/maps/?lvl=14&amp;sty=h&amp;cp=36.3731~43.0808&amp;sp=point.36.3731_43.0808","Maplink3")</f>
        <v>Maplink3</v>
      </c>
    </row>
    <row r="1390" spans="1:51" x14ac:dyDescent="0.2">
      <c r="A1390" s="102">
        <v>21336</v>
      </c>
      <c r="B1390" s="103" t="s">
        <v>35</v>
      </c>
      <c r="C1390" s="103" t="s">
        <v>102</v>
      </c>
      <c r="D1390" s="103" t="s">
        <v>2435</v>
      </c>
      <c r="E1390" s="103" t="s">
        <v>2436</v>
      </c>
      <c r="F1390" s="103">
        <v>36.298921345099998</v>
      </c>
      <c r="G1390" s="103">
        <v>43.192459444500003</v>
      </c>
      <c r="H1390" s="102">
        <v>255</v>
      </c>
      <c r="I1390" s="102">
        <v>1530</v>
      </c>
      <c r="J1390" s="103"/>
      <c r="K1390" s="103"/>
      <c r="L1390" s="103"/>
      <c r="M1390" s="103">
        <v>255</v>
      </c>
      <c r="N1390" s="103"/>
      <c r="O1390" s="103"/>
      <c r="P1390" s="103"/>
      <c r="Q1390" s="103"/>
      <c r="R1390" s="103"/>
      <c r="S1390" s="103"/>
      <c r="T1390" s="103"/>
      <c r="U1390" s="103"/>
      <c r="V1390" s="103"/>
      <c r="W1390" s="103">
        <v>13</v>
      </c>
      <c r="X1390" s="103"/>
      <c r="Y1390" s="103">
        <v>29</v>
      </c>
      <c r="Z1390" s="103"/>
      <c r="AA1390" s="103">
        <v>28</v>
      </c>
      <c r="AB1390" s="103"/>
      <c r="AC1390" s="103">
        <v>3</v>
      </c>
      <c r="AD1390" s="103"/>
      <c r="AE1390" s="103"/>
      <c r="AF1390" s="103"/>
      <c r="AG1390" s="103">
        <v>182</v>
      </c>
      <c r="AH1390" s="103"/>
      <c r="AI1390" s="103"/>
      <c r="AJ1390" s="103"/>
      <c r="AK1390" s="103"/>
      <c r="AL1390" s="103"/>
      <c r="AM1390" s="103"/>
      <c r="AN1390" s="103">
        <v>73</v>
      </c>
      <c r="AO1390" s="103"/>
      <c r="AP1390" s="103"/>
      <c r="AQ1390" s="103"/>
      <c r="AR1390" s="103"/>
      <c r="AS1390" s="103">
        <v>182</v>
      </c>
      <c r="AT1390" s="103"/>
      <c r="AU1390" s="103"/>
      <c r="AV1390" s="103"/>
      <c r="AW1390" s="104" t="str">
        <f>HYPERLINK("http://www.openstreetmap.org/?mlat=36.2989&amp;mlon=43.1925&amp;zoom=12#map=12/36.2989/43.1925","Maplink1")</f>
        <v>Maplink1</v>
      </c>
      <c r="AX1390" s="104" t="str">
        <f>HYPERLINK("https://www.google.iq/maps/search/+36.2989,43.1925/@36.2989,43.1925,14z?hl=en","Maplink2")</f>
        <v>Maplink2</v>
      </c>
      <c r="AY1390" s="104" t="str">
        <f>HYPERLINK("http://www.bing.com/maps/?lvl=14&amp;sty=h&amp;cp=36.2989~43.1925&amp;sp=point.36.2989_43.1925","Maplink3")</f>
        <v>Maplink3</v>
      </c>
    </row>
    <row r="1391" spans="1:51" x14ac:dyDescent="0.2">
      <c r="A1391" s="102">
        <v>25813</v>
      </c>
      <c r="B1391" s="103" t="s">
        <v>35</v>
      </c>
      <c r="C1391" s="103" t="s">
        <v>102</v>
      </c>
      <c r="D1391" s="103" t="s">
        <v>2437</v>
      </c>
      <c r="E1391" s="103" t="s">
        <v>2438</v>
      </c>
      <c r="F1391" s="103">
        <v>36.493137050000001</v>
      </c>
      <c r="G1391" s="103">
        <v>43.424053780500003</v>
      </c>
      <c r="H1391" s="102">
        <v>38</v>
      </c>
      <c r="I1391" s="102">
        <v>228</v>
      </c>
      <c r="J1391" s="103"/>
      <c r="K1391" s="103"/>
      <c r="L1391" s="103"/>
      <c r="M1391" s="103">
        <v>38</v>
      </c>
      <c r="N1391" s="103"/>
      <c r="O1391" s="103"/>
      <c r="P1391" s="103"/>
      <c r="Q1391" s="103"/>
      <c r="R1391" s="103"/>
      <c r="S1391" s="103"/>
      <c r="T1391" s="103"/>
      <c r="U1391" s="103"/>
      <c r="V1391" s="103"/>
      <c r="W1391" s="103"/>
      <c r="X1391" s="103"/>
      <c r="Y1391" s="103">
        <v>33</v>
      </c>
      <c r="Z1391" s="103"/>
      <c r="AA1391" s="103">
        <v>5</v>
      </c>
      <c r="AB1391" s="103"/>
      <c r="AC1391" s="103"/>
      <c r="AD1391" s="103"/>
      <c r="AE1391" s="103"/>
      <c r="AF1391" s="103"/>
      <c r="AG1391" s="103"/>
      <c r="AH1391" s="103"/>
      <c r="AI1391" s="103"/>
      <c r="AJ1391" s="103"/>
      <c r="AK1391" s="103"/>
      <c r="AL1391" s="103"/>
      <c r="AM1391" s="103"/>
      <c r="AN1391" s="103"/>
      <c r="AO1391" s="103">
        <v>38</v>
      </c>
      <c r="AP1391" s="103"/>
      <c r="AQ1391" s="103"/>
      <c r="AR1391" s="103"/>
      <c r="AS1391" s="103"/>
      <c r="AT1391" s="103"/>
      <c r="AU1391" s="103"/>
      <c r="AV1391" s="103"/>
      <c r="AW1391" s="104" t="str">
        <f>HYPERLINK("http://www.openstreetmap.org/?mlat=36.4931&amp;mlon=43.4241&amp;zoom=12#map=12/36.4931/43.4241","Maplink1")</f>
        <v>Maplink1</v>
      </c>
      <c r="AX1391" s="104" t="str">
        <f>HYPERLINK("https://www.google.iq/maps/search/+36.4931,43.4241/@36.4931,43.4241,14z?hl=en","Maplink2")</f>
        <v>Maplink2</v>
      </c>
      <c r="AY1391" s="104" t="str">
        <f>HYPERLINK("http://www.bing.com/maps/?lvl=14&amp;sty=h&amp;cp=36.4931~43.4241&amp;sp=point.36.4931_43.4241","Maplink3")</f>
        <v>Maplink3</v>
      </c>
    </row>
    <row r="1392" spans="1:51" x14ac:dyDescent="0.2">
      <c r="A1392" s="102">
        <v>20796</v>
      </c>
      <c r="B1392" s="103" t="s">
        <v>35</v>
      </c>
      <c r="C1392" s="103" t="s">
        <v>102</v>
      </c>
      <c r="D1392" s="103" t="s">
        <v>2439</v>
      </c>
      <c r="E1392" s="103" t="s">
        <v>2440</v>
      </c>
      <c r="F1392" s="103">
        <v>36.4085196439</v>
      </c>
      <c r="G1392" s="103">
        <v>43.104616009600001</v>
      </c>
      <c r="H1392" s="102">
        <v>131</v>
      </c>
      <c r="I1392" s="102">
        <v>786</v>
      </c>
      <c r="J1392" s="103"/>
      <c r="K1392" s="103"/>
      <c r="L1392" s="103"/>
      <c r="M1392" s="103">
        <v>131</v>
      </c>
      <c r="N1392" s="103"/>
      <c r="O1392" s="103"/>
      <c r="P1392" s="103"/>
      <c r="Q1392" s="103"/>
      <c r="R1392" s="103"/>
      <c r="S1392" s="103"/>
      <c r="T1392" s="103"/>
      <c r="U1392" s="103"/>
      <c r="V1392" s="103"/>
      <c r="W1392" s="103">
        <v>35</v>
      </c>
      <c r="X1392" s="103"/>
      <c r="Y1392" s="103">
        <v>26</v>
      </c>
      <c r="Z1392" s="103"/>
      <c r="AA1392" s="103">
        <v>40</v>
      </c>
      <c r="AB1392" s="103"/>
      <c r="AC1392" s="103"/>
      <c r="AD1392" s="103"/>
      <c r="AE1392" s="103"/>
      <c r="AF1392" s="103"/>
      <c r="AG1392" s="103">
        <v>30</v>
      </c>
      <c r="AH1392" s="103"/>
      <c r="AI1392" s="103"/>
      <c r="AJ1392" s="103"/>
      <c r="AK1392" s="103"/>
      <c r="AL1392" s="103"/>
      <c r="AM1392" s="103"/>
      <c r="AN1392" s="103">
        <v>101</v>
      </c>
      <c r="AO1392" s="103"/>
      <c r="AP1392" s="103"/>
      <c r="AQ1392" s="103"/>
      <c r="AR1392" s="103"/>
      <c r="AS1392" s="103">
        <v>30</v>
      </c>
      <c r="AT1392" s="103"/>
      <c r="AU1392" s="103"/>
      <c r="AV1392" s="103"/>
      <c r="AW1392" s="104" t="str">
        <f>HYPERLINK("http://www.openstreetmap.org/?mlat=36.4085&amp;mlon=43.1046&amp;zoom=12#map=12/36.4085/43.1046","Maplink1")</f>
        <v>Maplink1</v>
      </c>
      <c r="AX1392" s="104" t="str">
        <f>HYPERLINK("https://www.google.iq/maps/search/+36.4085,43.1046/@36.4085,43.1046,14z?hl=en","Maplink2")</f>
        <v>Maplink2</v>
      </c>
      <c r="AY1392" s="104" t="str">
        <f>HYPERLINK("http://www.bing.com/maps/?lvl=14&amp;sty=h&amp;cp=36.4085~43.1046&amp;sp=point.36.4085_43.1046","Maplink3")</f>
        <v>Maplink3</v>
      </c>
    </row>
    <row r="1393" spans="1:51" x14ac:dyDescent="0.2">
      <c r="A1393" s="102">
        <v>17744</v>
      </c>
      <c r="B1393" s="103" t="s">
        <v>35</v>
      </c>
      <c r="C1393" s="103" t="s">
        <v>102</v>
      </c>
      <c r="D1393" s="103" t="s">
        <v>2441</v>
      </c>
      <c r="E1393" s="103" t="s">
        <v>2442</v>
      </c>
      <c r="F1393" s="103">
        <v>35.774992022900001</v>
      </c>
      <c r="G1393" s="103">
        <v>43.308109827300001</v>
      </c>
      <c r="H1393" s="102">
        <v>130</v>
      </c>
      <c r="I1393" s="102">
        <v>780</v>
      </c>
      <c r="J1393" s="103"/>
      <c r="K1393" s="103"/>
      <c r="L1393" s="103"/>
      <c r="M1393" s="103">
        <v>125</v>
      </c>
      <c r="N1393" s="103">
        <v>5</v>
      </c>
      <c r="O1393" s="103"/>
      <c r="P1393" s="103"/>
      <c r="Q1393" s="103"/>
      <c r="R1393" s="103"/>
      <c r="S1393" s="103"/>
      <c r="T1393" s="103"/>
      <c r="U1393" s="103"/>
      <c r="V1393" s="103"/>
      <c r="W1393" s="103"/>
      <c r="X1393" s="103"/>
      <c r="Y1393" s="103"/>
      <c r="Z1393" s="103"/>
      <c r="AA1393" s="103">
        <v>112</v>
      </c>
      <c r="AB1393" s="103"/>
      <c r="AC1393" s="103">
        <v>18</v>
      </c>
      <c r="AD1393" s="103"/>
      <c r="AE1393" s="103"/>
      <c r="AF1393" s="103"/>
      <c r="AG1393" s="103"/>
      <c r="AH1393" s="103"/>
      <c r="AI1393" s="103"/>
      <c r="AJ1393" s="103"/>
      <c r="AK1393" s="103"/>
      <c r="AL1393" s="103"/>
      <c r="AM1393" s="103"/>
      <c r="AN1393" s="103"/>
      <c r="AO1393" s="103">
        <v>12</v>
      </c>
      <c r="AP1393" s="103"/>
      <c r="AQ1393" s="103">
        <v>18</v>
      </c>
      <c r="AR1393" s="103"/>
      <c r="AS1393" s="103">
        <v>100</v>
      </c>
      <c r="AT1393" s="103"/>
      <c r="AU1393" s="103"/>
      <c r="AV1393" s="103"/>
      <c r="AW1393" s="104" t="str">
        <f>HYPERLINK("http://www.openstreetmap.org/?mlat=35.775&amp;mlon=43.3081&amp;zoom=12#map=12/35.775/43.3081","Maplink1")</f>
        <v>Maplink1</v>
      </c>
      <c r="AX1393" s="104" t="str">
        <f>HYPERLINK("https://www.google.iq/maps/search/+35.775,43.3081/@35.775,43.3081,14z?hl=en","Maplink2")</f>
        <v>Maplink2</v>
      </c>
      <c r="AY1393" s="104" t="str">
        <f>HYPERLINK("http://www.bing.com/maps/?lvl=14&amp;sty=h&amp;cp=35.775~43.3081&amp;sp=point.35.775_43.3081","Maplink3")</f>
        <v>Maplink3</v>
      </c>
    </row>
    <row r="1394" spans="1:51" x14ac:dyDescent="0.2">
      <c r="A1394" s="102">
        <v>31701</v>
      </c>
      <c r="B1394" s="103" t="s">
        <v>35</v>
      </c>
      <c r="C1394" s="103" t="s">
        <v>102</v>
      </c>
      <c r="D1394" s="103" t="s">
        <v>2443</v>
      </c>
      <c r="E1394" s="103" t="s">
        <v>2444</v>
      </c>
      <c r="F1394" s="103">
        <v>35.9804308601</v>
      </c>
      <c r="G1394" s="103">
        <v>43.342022733599997</v>
      </c>
      <c r="H1394" s="102">
        <v>450</v>
      </c>
      <c r="I1394" s="102">
        <v>2700</v>
      </c>
      <c r="J1394" s="103"/>
      <c r="K1394" s="103"/>
      <c r="L1394" s="103"/>
      <c r="M1394" s="103">
        <v>440</v>
      </c>
      <c r="N1394" s="103">
        <v>10</v>
      </c>
      <c r="O1394" s="103"/>
      <c r="P1394" s="103"/>
      <c r="Q1394" s="103"/>
      <c r="R1394" s="103"/>
      <c r="S1394" s="103"/>
      <c r="T1394" s="103"/>
      <c r="U1394" s="103"/>
      <c r="V1394" s="103"/>
      <c r="W1394" s="103"/>
      <c r="X1394" s="103"/>
      <c r="Y1394" s="103"/>
      <c r="Z1394" s="103"/>
      <c r="AA1394" s="103"/>
      <c r="AB1394" s="103"/>
      <c r="AC1394" s="103"/>
      <c r="AD1394" s="103"/>
      <c r="AE1394" s="103"/>
      <c r="AF1394" s="103"/>
      <c r="AG1394" s="103">
        <v>450</v>
      </c>
      <c r="AH1394" s="103"/>
      <c r="AI1394" s="103"/>
      <c r="AJ1394" s="103"/>
      <c r="AK1394" s="103"/>
      <c r="AL1394" s="103"/>
      <c r="AM1394" s="103"/>
      <c r="AN1394" s="103"/>
      <c r="AO1394" s="103"/>
      <c r="AP1394" s="103"/>
      <c r="AQ1394" s="103"/>
      <c r="AR1394" s="103"/>
      <c r="AS1394" s="103">
        <v>450</v>
      </c>
      <c r="AT1394" s="103"/>
      <c r="AU1394" s="103"/>
      <c r="AV1394" s="103"/>
      <c r="AW1394" s="104" t="str">
        <f>HYPERLINK("http://www.openstreetmap.org/?mlat=35.9804&amp;mlon=43.342&amp;zoom=12#map=12/35.9804/43.342","Maplink1")</f>
        <v>Maplink1</v>
      </c>
      <c r="AX1394" s="104" t="str">
        <f>HYPERLINK("https://www.google.iq/maps/search/+35.9804,43.342/@35.9804,43.342,14z?hl=en","Maplink2")</f>
        <v>Maplink2</v>
      </c>
      <c r="AY1394" s="104" t="str">
        <f>HYPERLINK("http://www.bing.com/maps/?lvl=14&amp;sty=h&amp;cp=35.9804~43.342&amp;sp=point.35.9804_43.342","Maplink3")</f>
        <v>Maplink3</v>
      </c>
    </row>
    <row r="1395" spans="1:51" x14ac:dyDescent="0.2">
      <c r="A1395" s="102">
        <v>18401</v>
      </c>
      <c r="B1395" s="103" t="s">
        <v>35</v>
      </c>
      <c r="C1395" s="103" t="s">
        <v>102</v>
      </c>
      <c r="D1395" s="103" t="s">
        <v>2445</v>
      </c>
      <c r="E1395" s="103" t="s">
        <v>2446</v>
      </c>
      <c r="F1395" s="103">
        <v>36.330536261200002</v>
      </c>
      <c r="G1395" s="103">
        <v>43.128121368899997</v>
      </c>
      <c r="H1395" s="102">
        <v>1410</v>
      </c>
      <c r="I1395" s="102">
        <v>8460</v>
      </c>
      <c r="J1395" s="103"/>
      <c r="K1395" s="103"/>
      <c r="L1395" s="103"/>
      <c r="M1395" s="103">
        <v>1410</v>
      </c>
      <c r="N1395" s="103"/>
      <c r="O1395" s="103"/>
      <c r="P1395" s="103"/>
      <c r="Q1395" s="103"/>
      <c r="R1395" s="103"/>
      <c r="S1395" s="103"/>
      <c r="T1395" s="103"/>
      <c r="U1395" s="103"/>
      <c r="V1395" s="103"/>
      <c r="W1395" s="103"/>
      <c r="X1395" s="103"/>
      <c r="Y1395" s="103">
        <v>1</v>
      </c>
      <c r="Z1395" s="103"/>
      <c r="AA1395" s="103"/>
      <c r="AB1395" s="103"/>
      <c r="AC1395" s="103"/>
      <c r="AD1395" s="103"/>
      <c r="AE1395" s="103"/>
      <c r="AF1395" s="103"/>
      <c r="AG1395" s="103">
        <v>1409</v>
      </c>
      <c r="AH1395" s="103"/>
      <c r="AI1395" s="103"/>
      <c r="AJ1395" s="103"/>
      <c r="AK1395" s="103"/>
      <c r="AL1395" s="103"/>
      <c r="AM1395" s="103"/>
      <c r="AN1395" s="103"/>
      <c r="AO1395" s="103"/>
      <c r="AP1395" s="103"/>
      <c r="AQ1395" s="103"/>
      <c r="AR1395" s="103"/>
      <c r="AS1395" s="103">
        <v>1410</v>
      </c>
      <c r="AT1395" s="103"/>
      <c r="AU1395" s="103"/>
      <c r="AV1395" s="103"/>
      <c r="AW1395" s="104" t="str">
        <f>HYPERLINK("http://www.openstreetmap.org/?mlat=36.3305&amp;mlon=43.1281&amp;zoom=12#map=12/36.3305/43.1281","Maplink1")</f>
        <v>Maplink1</v>
      </c>
      <c r="AX1395" s="104" t="str">
        <f>HYPERLINK("https://www.google.iq/maps/search/+36.3305,43.1281/@36.3305,43.1281,14z?hl=en","Maplink2")</f>
        <v>Maplink2</v>
      </c>
      <c r="AY1395" s="104" t="str">
        <f>HYPERLINK("http://www.bing.com/maps/?lvl=14&amp;sty=h&amp;cp=36.3305~43.1281&amp;sp=point.36.3305_43.1281","Maplink3")</f>
        <v>Maplink3</v>
      </c>
    </row>
    <row r="1396" spans="1:51" x14ac:dyDescent="0.2">
      <c r="A1396" s="102">
        <v>17445</v>
      </c>
      <c r="B1396" s="103" t="s">
        <v>35</v>
      </c>
      <c r="C1396" s="103" t="s">
        <v>102</v>
      </c>
      <c r="D1396" s="103" t="s">
        <v>2447</v>
      </c>
      <c r="E1396" s="103" t="s">
        <v>2448</v>
      </c>
      <c r="F1396" s="103">
        <v>36.104410000000001</v>
      </c>
      <c r="G1396" s="103">
        <v>42.637783022699999</v>
      </c>
      <c r="H1396" s="102">
        <v>17</v>
      </c>
      <c r="I1396" s="102">
        <v>102</v>
      </c>
      <c r="J1396" s="103"/>
      <c r="K1396" s="103"/>
      <c r="L1396" s="103"/>
      <c r="M1396" s="103">
        <v>15</v>
      </c>
      <c r="N1396" s="103">
        <v>2</v>
      </c>
      <c r="O1396" s="103"/>
      <c r="P1396" s="103"/>
      <c r="Q1396" s="103"/>
      <c r="R1396" s="103"/>
      <c r="S1396" s="103"/>
      <c r="T1396" s="103"/>
      <c r="U1396" s="103"/>
      <c r="V1396" s="103"/>
      <c r="W1396" s="103"/>
      <c r="X1396" s="103"/>
      <c r="Y1396" s="103"/>
      <c r="Z1396" s="103"/>
      <c r="AA1396" s="103"/>
      <c r="AB1396" s="103"/>
      <c r="AC1396" s="103"/>
      <c r="AD1396" s="103"/>
      <c r="AE1396" s="103"/>
      <c r="AF1396" s="103"/>
      <c r="AG1396" s="103">
        <v>17</v>
      </c>
      <c r="AH1396" s="103"/>
      <c r="AI1396" s="103"/>
      <c r="AJ1396" s="103"/>
      <c r="AK1396" s="103"/>
      <c r="AL1396" s="103"/>
      <c r="AM1396" s="103"/>
      <c r="AN1396" s="103"/>
      <c r="AO1396" s="103"/>
      <c r="AP1396" s="103"/>
      <c r="AQ1396" s="103"/>
      <c r="AR1396" s="103"/>
      <c r="AS1396" s="103">
        <v>17</v>
      </c>
      <c r="AT1396" s="103"/>
      <c r="AU1396" s="103"/>
      <c r="AV1396" s="103"/>
      <c r="AW1396" s="104" t="str">
        <f>HYPERLINK("http://www.openstreetmap.org/?mlat=36.1044&amp;mlon=42.6378&amp;zoom=12#map=12/36.1044/42.6378","Maplink1")</f>
        <v>Maplink1</v>
      </c>
      <c r="AX1396" s="104" t="str">
        <f>HYPERLINK("https://www.google.iq/maps/search/+36.1044,42.6378/@36.1044,42.6378,14z?hl=en","Maplink2")</f>
        <v>Maplink2</v>
      </c>
      <c r="AY1396" s="104" t="str">
        <f>HYPERLINK("http://www.bing.com/maps/?lvl=14&amp;sty=h&amp;cp=36.1044~42.6378&amp;sp=point.36.1044_42.6378","Maplink3")</f>
        <v>Maplink3</v>
      </c>
    </row>
    <row r="1397" spans="1:51" x14ac:dyDescent="0.2">
      <c r="A1397" s="102">
        <v>20970</v>
      </c>
      <c r="B1397" s="103" t="s">
        <v>35</v>
      </c>
      <c r="C1397" s="103" t="s">
        <v>102</v>
      </c>
      <c r="D1397" s="103" t="s">
        <v>2678</v>
      </c>
      <c r="E1397" s="103" t="s">
        <v>2679</v>
      </c>
      <c r="F1397" s="103">
        <v>36.352198017600003</v>
      </c>
      <c r="G1397" s="103">
        <v>43.118589401000001</v>
      </c>
      <c r="H1397" s="102">
        <v>627</v>
      </c>
      <c r="I1397" s="102">
        <v>3762</v>
      </c>
      <c r="J1397" s="103"/>
      <c r="K1397" s="103"/>
      <c r="L1397" s="103"/>
      <c r="M1397" s="103">
        <v>227</v>
      </c>
      <c r="N1397" s="103">
        <v>400</v>
      </c>
      <c r="O1397" s="103"/>
      <c r="P1397" s="103"/>
      <c r="Q1397" s="103"/>
      <c r="R1397" s="103"/>
      <c r="S1397" s="103"/>
      <c r="T1397" s="103"/>
      <c r="U1397" s="103"/>
      <c r="V1397" s="103"/>
      <c r="W1397" s="103"/>
      <c r="X1397" s="103"/>
      <c r="Y1397" s="103"/>
      <c r="Z1397" s="103"/>
      <c r="AA1397" s="103"/>
      <c r="AB1397" s="103"/>
      <c r="AC1397" s="103"/>
      <c r="AD1397" s="103"/>
      <c r="AE1397" s="103"/>
      <c r="AF1397" s="103"/>
      <c r="AG1397" s="103">
        <v>627</v>
      </c>
      <c r="AH1397" s="103"/>
      <c r="AI1397" s="103"/>
      <c r="AJ1397" s="103"/>
      <c r="AK1397" s="103"/>
      <c r="AL1397" s="103"/>
      <c r="AM1397" s="103"/>
      <c r="AN1397" s="103"/>
      <c r="AO1397" s="103"/>
      <c r="AP1397" s="103"/>
      <c r="AQ1397" s="103"/>
      <c r="AR1397" s="103"/>
      <c r="AS1397" s="103">
        <v>627</v>
      </c>
      <c r="AT1397" s="103"/>
      <c r="AU1397" s="103"/>
      <c r="AV1397" s="103"/>
      <c r="AW1397" s="104" t="str">
        <f>HYPERLINK("http://www.openstreetmap.org/?mlat=36.3522&amp;mlon=43.1186&amp;zoom=12#map=12/36.3522/43.1186","Maplink1")</f>
        <v>Maplink1</v>
      </c>
      <c r="AX1397" s="104" t="str">
        <f>HYPERLINK("https://www.google.iq/maps/search/+36.3522,43.1186/@36.3522,43.1186,14z?hl=en","Maplink2")</f>
        <v>Maplink2</v>
      </c>
      <c r="AY1397" s="104" t="str">
        <f>HYPERLINK("http://www.bing.com/maps/?lvl=14&amp;sty=h&amp;cp=36.3522~43.1186&amp;sp=point.36.3522_43.1186","Maplink3")</f>
        <v>Maplink3</v>
      </c>
    </row>
    <row r="1398" spans="1:51" x14ac:dyDescent="0.2">
      <c r="A1398" s="102">
        <v>24203</v>
      </c>
      <c r="B1398" s="103" t="s">
        <v>35</v>
      </c>
      <c r="C1398" s="103" t="s">
        <v>102</v>
      </c>
      <c r="D1398" s="103" t="s">
        <v>2680</v>
      </c>
      <c r="E1398" s="103" t="s">
        <v>2681</v>
      </c>
      <c r="F1398" s="103">
        <v>36.408839999999998</v>
      </c>
      <c r="G1398" s="103">
        <v>43.380756155699999</v>
      </c>
      <c r="H1398" s="102">
        <v>710</v>
      </c>
      <c r="I1398" s="102">
        <v>4260</v>
      </c>
      <c r="J1398" s="103"/>
      <c r="K1398" s="103"/>
      <c r="L1398" s="103"/>
      <c r="M1398" s="103">
        <v>710</v>
      </c>
      <c r="N1398" s="103"/>
      <c r="O1398" s="103"/>
      <c r="P1398" s="103"/>
      <c r="Q1398" s="103"/>
      <c r="R1398" s="103"/>
      <c r="S1398" s="103"/>
      <c r="T1398" s="103"/>
      <c r="U1398" s="103"/>
      <c r="V1398" s="103">
        <v>25</v>
      </c>
      <c r="W1398" s="103">
        <v>20</v>
      </c>
      <c r="X1398" s="103">
        <v>9</v>
      </c>
      <c r="Y1398" s="103">
        <v>12</v>
      </c>
      <c r="Z1398" s="103">
        <v>40</v>
      </c>
      <c r="AA1398" s="103">
        <v>224</v>
      </c>
      <c r="AB1398" s="103">
        <v>39</v>
      </c>
      <c r="AC1398" s="103">
        <v>3</v>
      </c>
      <c r="AD1398" s="103">
        <v>3</v>
      </c>
      <c r="AE1398" s="103">
        <v>23</v>
      </c>
      <c r="AF1398" s="103">
        <v>83</v>
      </c>
      <c r="AG1398" s="103">
        <v>173</v>
      </c>
      <c r="AH1398" s="103">
        <v>16</v>
      </c>
      <c r="AI1398" s="103"/>
      <c r="AJ1398" s="103">
        <v>2</v>
      </c>
      <c r="AK1398" s="103">
        <v>6</v>
      </c>
      <c r="AL1398" s="103">
        <v>32</v>
      </c>
      <c r="AM1398" s="103"/>
      <c r="AN1398" s="103"/>
      <c r="AO1398" s="103">
        <v>710</v>
      </c>
      <c r="AP1398" s="103"/>
      <c r="AQ1398" s="103"/>
      <c r="AR1398" s="103"/>
      <c r="AS1398" s="103"/>
      <c r="AT1398" s="103"/>
      <c r="AU1398" s="103"/>
      <c r="AV1398" s="103"/>
      <c r="AW1398" s="104" t="str">
        <f>HYPERLINK("http://www.openstreetmap.org/?mlat=36.4088&amp;mlon=43.3808&amp;zoom=12#map=12/36.4088/43.3808","Maplink1")</f>
        <v>Maplink1</v>
      </c>
      <c r="AX1398" s="104" t="str">
        <f>HYPERLINK("https://www.google.iq/maps/search/+36.4088,43.3808/@36.4088,43.3808,14z?hl=en","Maplink2")</f>
        <v>Maplink2</v>
      </c>
      <c r="AY1398" s="104" t="str">
        <f>HYPERLINK("http://www.bing.com/maps/?lvl=14&amp;sty=h&amp;cp=36.4088~43.3808&amp;sp=point.36.4088_43.3808","Maplink3")</f>
        <v>Maplink3</v>
      </c>
    </row>
    <row r="1399" spans="1:51" x14ac:dyDescent="0.2">
      <c r="A1399" s="102">
        <v>18365</v>
      </c>
      <c r="B1399" s="103" t="s">
        <v>35</v>
      </c>
      <c r="C1399" s="103" t="s">
        <v>102</v>
      </c>
      <c r="D1399" s="103" t="s">
        <v>2682</v>
      </c>
      <c r="E1399" s="103" t="s">
        <v>2683</v>
      </c>
      <c r="F1399" s="103">
        <v>36.322807723799997</v>
      </c>
      <c r="G1399" s="103">
        <v>43.092169973200001</v>
      </c>
      <c r="H1399" s="102">
        <v>5355</v>
      </c>
      <c r="I1399" s="102">
        <v>32130</v>
      </c>
      <c r="J1399" s="103"/>
      <c r="K1399" s="103"/>
      <c r="L1399" s="103"/>
      <c r="M1399" s="103">
        <v>5355</v>
      </c>
      <c r="N1399" s="103"/>
      <c r="O1399" s="103"/>
      <c r="P1399" s="103"/>
      <c r="Q1399" s="103"/>
      <c r="R1399" s="103"/>
      <c r="S1399" s="103"/>
      <c r="T1399" s="103"/>
      <c r="U1399" s="103"/>
      <c r="V1399" s="103"/>
      <c r="W1399" s="103"/>
      <c r="X1399" s="103"/>
      <c r="Y1399" s="103"/>
      <c r="Z1399" s="103"/>
      <c r="AA1399" s="103"/>
      <c r="AB1399" s="103"/>
      <c r="AC1399" s="103"/>
      <c r="AD1399" s="103"/>
      <c r="AE1399" s="103"/>
      <c r="AF1399" s="103"/>
      <c r="AG1399" s="103">
        <v>5355</v>
      </c>
      <c r="AH1399" s="103"/>
      <c r="AI1399" s="103"/>
      <c r="AJ1399" s="103"/>
      <c r="AK1399" s="103"/>
      <c r="AL1399" s="103"/>
      <c r="AM1399" s="103"/>
      <c r="AN1399" s="103"/>
      <c r="AO1399" s="103"/>
      <c r="AP1399" s="103"/>
      <c r="AQ1399" s="103"/>
      <c r="AR1399" s="103"/>
      <c r="AS1399" s="103">
        <v>5355</v>
      </c>
      <c r="AT1399" s="103"/>
      <c r="AU1399" s="103"/>
      <c r="AV1399" s="103"/>
      <c r="AW1399" s="104" t="str">
        <f>HYPERLINK("http://www.openstreetmap.org/?mlat=36.3228&amp;mlon=43.0922&amp;zoom=12#map=12/36.3228/43.0922","Maplink1")</f>
        <v>Maplink1</v>
      </c>
      <c r="AX1399" s="104" t="str">
        <f>HYPERLINK("https://www.google.iq/maps/search/+36.3228,43.0922/@36.3228,43.0922,14z?hl=en","Maplink2")</f>
        <v>Maplink2</v>
      </c>
      <c r="AY1399" s="104" t="str">
        <f>HYPERLINK("http://www.bing.com/maps/?lvl=14&amp;sty=h&amp;cp=36.3228~43.0922&amp;sp=point.36.3228_43.0922","Maplink3")</f>
        <v>Maplink3</v>
      </c>
    </row>
    <row r="1400" spans="1:51" x14ac:dyDescent="0.2">
      <c r="A1400" s="102">
        <v>31843</v>
      </c>
      <c r="B1400" s="103" t="s">
        <v>35</v>
      </c>
      <c r="C1400" s="103" t="s">
        <v>102</v>
      </c>
      <c r="D1400" s="103" t="s">
        <v>2684</v>
      </c>
      <c r="E1400" s="103" t="s">
        <v>2685</v>
      </c>
      <c r="F1400" s="103">
        <v>35.747257006399998</v>
      </c>
      <c r="G1400" s="103">
        <v>43.306111665400003</v>
      </c>
      <c r="H1400" s="102">
        <v>225</v>
      </c>
      <c r="I1400" s="102">
        <v>1350</v>
      </c>
      <c r="J1400" s="103"/>
      <c r="K1400" s="103"/>
      <c r="L1400" s="103"/>
      <c r="M1400" s="103">
        <v>215</v>
      </c>
      <c r="N1400" s="103">
        <v>10</v>
      </c>
      <c r="O1400" s="103"/>
      <c r="P1400" s="103"/>
      <c r="Q1400" s="103"/>
      <c r="R1400" s="103"/>
      <c r="S1400" s="103"/>
      <c r="T1400" s="103"/>
      <c r="U1400" s="103"/>
      <c r="V1400" s="103"/>
      <c r="W1400" s="103"/>
      <c r="X1400" s="103"/>
      <c r="Y1400" s="103"/>
      <c r="Z1400" s="103"/>
      <c r="AA1400" s="103">
        <v>167</v>
      </c>
      <c r="AB1400" s="103"/>
      <c r="AC1400" s="103">
        <v>58</v>
      </c>
      <c r="AD1400" s="103"/>
      <c r="AE1400" s="103"/>
      <c r="AF1400" s="103"/>
      <c r="AG1400" s="103"/>
      <c r="AH1400" s="103"/>
      <c r="AI1400" s="103"/>
      <c r="AJ1400" s="103"/>
      <c r="AK1400" s="103"/>
      <c r="AL1400" s="103"/>
      <c r="AM1400" s="103"/>
      <c r="AN1400" s="103"/>
      <c r="AO1400" s="103">
        <v>16</v>
      </c>
      <c r="AP1400" s="103"/>
      <c r="AQ1400" s="103"/>
      <c r="AR1400" s="103">
        <v>207</v>
      </c>
      <c r="AS1400" s="103">
        <v>2</v>
      </c>
      <c r="AT1400" s="103"/>
      <c r="AU1400" s="103"/>
      <c r="AV1400" s="103"/>
      <c r="AW1400" s="104" t="str">
        <f>HYPERLINK("http://www.openstreetmap.org/?mlat=35.7473&amp;mlon=43.3061&amp;zoom=12#map=12/35.7473/43.3061","Maplink1")</f>
        <v>Maplink1</v>
      </c>
      <c r="AX1400" s="104" t="str">
        <f>HYPERLINK("https://www.google.iq/maps/search/+35.7473,43.3061/@35.7473,43.3061,14z?hl=en","Maplink2")</f>
        <v>Maplink2</v>
      </c>
      <c r="AY1400" s="104" t="str">
        <f>HYPERLINK("http://www.bing.com/maps/?lvl=14&amp;sty=h&amp;cp=35.7473~43.3061&amp;sp=point.35.7473_43.3061","Maplink3")</f>
        <v>Maplink3</v>
      </c>
    </row>
    <row r="1401" spans="1:51" x14ac:dyDescent="0.2">
      <c r="A1401" s="102">
        <v>31920</v>
      </c>
      <c r="B1401" s="103" t="s">
        <v>35</v>
      </c>
      <c r="C1401" s="103" t="s">
        <v>102</v>
      </c>
      <c r="D1401" s="103" t="s">
        <v>2686</v>
      </c>
      <c r="E1401" s="103" t="s">
        <v>628</v>
      </c>
      <c r="F1401" s="103">
        <v>36.389268720099999</v>
      </c>
      <c r="G1401" s="103">
        <v>43.197229117200003</v>
      </c>
      <c r="H1401" s="102">
        <v>235</v>
      </c>
      <c r="I1401" s="102">
        <v>1410</v>
      </c>
      <c r="J1401" s="103"/>
      <c r="K1401" s="103"/>
      <c r="L1401" s="103"/>
      <c r="M1401" s="103">
        <v>235</v>
      </c>
      <c r="N1401" s="103"/>
      <c r="O1401" s="103"/>
      <c r="P1401" s="103"/>
      <c r="Q1401" s="103"/>
      <c r="R1401" s="103"/>
      <c r="S1401" s="103"/>
      <c r="T1401" s="103"/>
      <c r="U1401" s="103"/>
      <c r="V1401" s="103"/>
      <c r="W1401" s="103">
        <v>5</v>
      </c>
      <c r="X1401" s="103"/>
      <c r="Y1401" s="103">
        <v>8</v>
      </c>
      <c r="Z1401" s="103"/>
      <c r="AA1401" s="103">
        <v>20</v>
      </c>
      <c r="AB1401" s="103"/>
      <c r="AC1401" s="103">
        <v>2</v>
      </c>
      <c r="AD1401" s="103"/>
      <c r="AE1401" s="103"/>
      <c r="AF1401" s="103"/>
      <c r="AG1401" s="103">
        <v>200</v>
      </c>
      <c r="AH1401" s="103"/>
      <c r="AI1401" s="103"/>
      <c r="AJ1401" s="103"/>
      <c r="AK1401" s="103"/>
      <c r="AL1401" s="103"/>
      <c r="AM1401" s="103"/>
      <c r="AN1401" s="103">
        <v>35</v>
      </c>
      <c r="AO1401" s="103"/>
      <c r="AP1401" s="103"/>
      <c r="AQ1401" s="103"/>
      <c r="AR1401" s="103"/>
      <c r="AS1401" s="103">
        <v>200</v>
      </c>
      <c r="AT1401" s="103"/>
      <c r="AU1401" s="103"/>
      <c r="AV1401" s="103"/>
      <c r="AW1401" s="104" t="str">
        <f>HYPERLINK("http://www.openstreetmap.org/?mlat=36.3893&amp;mlon=43.1972&amp;zoom=12#map=12/36.3893/43.1972","Maplink1")</f>
        <v>Maplink1</v>
      </c>
      <c r="AX1401" s="104" t="str">
        <f>HYPERLINK("https://www.google.iq/maps/search/+36.3893,43.1972/@36.3893,43.1972,14z?hl=en","Maplink2")</f>
        <v>Maplink2</v>
      </c>
      <c r="AY1401" s="104" t="str">
        <f>HYPERLINK("http://www.bing.com/maps/?lvl=14&amp;sty=h&amp;cp=36.3893~43.1972&amp;sp=point.36.3893_43.1972","Maplink3")</f>
        <v>Maplink3</v>
      </c>
    </row>
    <row r="1402" spans="1:51" x14ac:dyDescent="0.2">
      <c r="A1402" s="102">
        <v>32049</v>
      </c>
      <c r="B1402" s="103" t="s">
        <v>35</v>
      </c>
      <c r="C1402" s="103" t="s">
        <v>102</v>
      </c>
      <c r="D1402" s="103" t="s">
        <v>2687</v>
      </c>
      <c r="E1402" s="103" t="s">
        <v>2688</v>
      </c>
      <c r="F1402" s="103">
        <v>35.987192999999998</v>
      </c>
      <c r="G1402" s="103">
        <v>43.107816</v>
      </c>
      <c r="H1402" s="102">
        <v>65</v>
      </c>
      <c r="I1402" s="102">
        <v>390</v>
      </c>
      <c r="J1402" s="103"/>
      <c r="K1402" s="103"/>
      <c r="L1402" s="103"/>
      <c r="M1402" s="103">
        <v>65</v>
      </c>
      <c r="N1402" s="103"/>
      <c r="O1402" s="103"/>
      <c r="P1402" s="103"/>
      <c r="Q1402" s="103"/>
      <c r="R1402" s="103"/>
      <c r="S1402" s="103"/>
      <c r="T1402" s="103"/>
      <c r="U1402" s="103"/>
      <c r="V1402" s="103"/>
      <c r="W1402" s="103"/>
      <c r="X1402" s="103"/>
      <c r="Y1402" s="103"/>
      <c r="Z1402" s="103"/>
      <c r="AA1402" s="103"/>
      <c r="AB1402" s="103"/>
      <c r="AC1402" s="103"/>
      <c r="AD1402" s="103"/>
      <c r="AE1402" s="103"/>
      <c r="AF1402" s="103"/>
      <c r="AG1402" s="103">
        <v>65</v>
      </c>
      <c r="AH1402" s="103"/>
      <c r="AI1402" s="103"/>
      <c r="AJ1402" s="103"/>
      <c r="AK1402" s="103"/>
      <c r="AL1402" s="103"/>
      <c r="AM1402" s="103"/>
      <c r="AN1402" s="103"/>
      <c r="AO1402" s="103"/>
      <c r="AP1402" s="103"/>
      <c r="AQ1402" s="103"/>
      <c r="AR1402" s="103"/>
      <c r="AS1402" s="103">
        <v>65</v>
      </c>
      <c r="AT1402" s="103"/>
      <c r="AU1402" s="103"/>
      <c r="AV1402" s="103"/>
      <c r="AW1402" s="104" t="str">
        <f>HYPERLINK("http://www.openstreetmap.org/?mlat=35.9872&amp;mlon=43.1078&amp;zoom=12#map=12/35.9872/43.1078","Maplink1")</f>
        <v>Maplink1</v>
      </c>
      <c r="AX1402" s="104" t="str">
        <f>HYPERLINK("https://www.google.iq/maps/search/+35.9872,43.1078/@35.9872,43.1078,14z?hl=en","Maplink2")</f>
        <v>Maplink2</v>
      </c>
      <c r="AY1402" s="104" t="str">
        <f>HYPERLINK("http://www.bing.com/maps/?lvl=14&amp;sty=h&amp;cp=35.9872~43.1078&amp;sp=point.35.9872_43.1078","Maplink3")</f>
        <v>Maplink3</v>
      </c>
    </row>
    <row r="1403" spans="1:51" x14ac:dyDescent="0.2">
      <c r="A1403" s="102">
        <v>21672</v>
      </c>
      <c r="B1403" s="103" t="s">
        <v>35</v>
      </c>
      <c r="C1403" s="103" t="s">
        <v>102</v>
      </c>
      <c r="D1403" s="103" t="s">
        <v>2689</v>
      </c>
      <c r="E1403" s="103" t="s">
        <v>1656</v>
      </c>
      <c r="F1403" s="103">
        <v>36.248551999999997</v>
      </c>
      <c r="G1403" s="103">
        <v>43.137082046499998</v>
      </c>
      <c r="H1403" s="102">
        <v>55</v>
      </c>
      <c r="I1403" s="102">
        <v>330</v>
      </c>
      <c r="J1403" s="103"/>
      <c r="K1403" s="103"/>
      <c r="L1403" s="103"/>
      <c r="M1403" s="103">
        <v>55</v>
      </c>
      <c r="N1403" s="103"/>
      <c r="O1403" s="103"/>
      <c r="P1403" s="103"/>
      <c r="Q1403" s="103"/>
      <c r="R1403" s="103"/>
      <c r="S1403" s="103"/>
      <c r="T1403" s="103"/>
      <c r="U1403" s="103"/>
      <c r="V1403" s="103"/>
      <c r="W1403" s="103"/>
      <c r="X1403" s="103"/>
      <c r="Y1403" s="103"/>
      <c r="Z1403" s="103"/>
      <c r="AA1403" s="103"/>
      <c r="AB1403" s="103"/>
      <c r="AC1403" s="103"/>
      <c r="AD1403" s="103"/>
      <c r="AE1403" s="103"/>
      <c r="AF1403" s="103"/>
      <c r="AG1403" s="103">
        <v>55</v>
      </c>
      <c r="AH1403" s="103"/>
      <c r="AI1403" s="103"/>
      <c r="AJ1403" s="103"/>
      <c r="AK1403" s="103"/>
      <c r="AL1403" s="103"/>
      <c r="AM1403" s="103"/>
      <c r="AN1403" s="103"/>
      <c r="AO1403" s="103"/>
      <c r="AP1403" s="103"/>
      <c r="AQ1403" s="103"/>
      <c r="AR1403" s="103"/>
      <c r="AS1403" s="103">
        <v>55</v>
      </c>
      <c r="AT1403" s="103"/>
      <c r="AU1403" s="103"/>
      <c r="AV1403" s="103"/>
      <c r="AW1403" s="104" t="str">
        <f>HYPERLINK("http://www.openstreetmap.org/?mlat=36.2486&amp;mlon=43.1371&amp;zoom=12#map=12/36.2486/43.1371","Maplink1")</f>
        <v>Maplink1</v>
      </c>
      <c r="AX1403" s="104" t="str">
        <f>HYPERLINK("https://www.google.iq/maps/search/+36.2486,43.1371/@36.2486,43.1371,14z?hl=en","Maplink2")</f>
        <v>Maplink2</v>
      </c>
      <c r="AY1403" s="104" t="str">
        <f>HYPERLINK("http://www.bing.com/maps/?lvl=14&amp;sty=h&amp;cp=36.2486~43.1371&amp;sp=point.36.2486_43.1371","Maplink3")</f>
        <v>Maplink3</v>
      </c>
    </row>
    <row r="1404" spans="1:51" x14ac:dyDescent="0.2">
      <c r="A1404" s="102">
        <v>33208</v>
      </c>
      <c r="B1404" s="103" t="s">
        <v>35</v>
      </c>
      <c r="C1404" s="103" t="s">
        <v>102</v>
      </c>
      <c r="D1404" s="103" t="s">
        <v>2690</v>
      </c>
      <c r="E1404" s="103" t="s">
        <v>2691</v>
      </c>
      <c r="F1404" s="103">
        <v>35.956183000000003</v>
      </c>
      <c r="G1404" s="103">
        <v>42.707754999999999</v>
      </c>
      <c r="H1404" s="102">
        <v>6</v>
      </c>
      <c r="I1404" s="102">
        <v>36</v>
      </c>
      <c r="J1404" s="103"/>
      <c r="K1404" s="103"/>
      <c r="L1404" s="103"/>
      <c r="M1404" s="103">
        <v>6</v>
      </c>
      <c r="N1404" s="103"/>
      <c r="O1404" s="103"/>
      <c r="P1404" s="103"/>
      <c r="Q1404" s="103"/>
      <c r="R1404" s="103"/>
      <c r="S1404" s="103"/>
      <c r="T1404" s="103"/>
      <c r="U1404" s="103"/>
      <c r="V1404" s="103"/>
      <c r="W1404" s="103"/>
      <c r="X1404" s="103"/>
      <c r="Y1404" s="103"/>
      <c r="Z1404" s="103"/>
      <c r="AA1404" s="103"/>
      <c r="AB1404" s="103"/>
      <c r="AC1404" s="103"/>
      <c r="AD1404" s="103"/>
      <c r="AE1404" s="103"/>
      <c r="AF1404" s="103"/>
      <c r="AG1404" s="103">
        <v>6</v>
      </c>
      <c r="AH1404" s="103"/>
      <c r="AI1404" s="103"/>
      <c r="AJ1404" s="103"/>
      <c r="AK1404" s="103"/>
      <c r="AL1404" s="103"/>
      <c r="AM1404" s="103"/>
      <c r="AN1404" s="103"/>
      <c r="AO1404" s="103"/>
      <c r="AP1404" s="103"/>
      <c r="AQ1404" s="103"/>
      <c r="AR1404" s="103"/>
      <c r="AS1404" s="103">
        <v>6</v>
      </c>
      <c r="AT1404" s="103"/>
      <c r="AU1404" s="103"/>
      <c r="AV1404" s="103"/>
      <c r="AW1404" s="104" t="str">
        <f>HYPERLINK("http://www.openstreetmap.org/?mlat=35.9562&amp;mlon=42.7078&amp;zoom=12#map=12/35.9562/42.7078","Maplink1")</f>
        <v>Maplink1</v>
      </c>
      <c r="AX1404" s="104" t="str">
        <f>HYPERLINK("https://www.google.iq/maps/search/+35.9562,42.7078/@35.9562,42.7078,14z?hl=en","Maplink2")</f>
        <v>Maplink2</v>
      </c>
      <c r="AY1404" s="104" t="str">
        <f>HYPERLINK("http://www.bing.com/maps/?lvl=14&amp;sty=h&amp;cp=35.9562~42.7078&amp;sp=point.35.9562_42.7078","Maplink3")</f>
        <v>Maplink3</v>
      </c>
    </row>
    <row r="1405" spans="1:51" x14ac:dyDescent="0.2">
      <c r="A1405" s="102">
        <v>24550</v>
      </c>
      <c r="B1405" s="103" t="s">
        <v>35</v>
      </c>
      <c r="C1405" s="103" t="s">
        <v>102</v>
      </c>
      <c r="D1405" s="103" t="s">
        <v>2838</v>
      </c>
      <c r="E1405" s="103" t="s">
        <v>2839</v>
      </c>
      <c r="F1405" s="103">
        <v>36.3297002093</v>
      </c>
      <c r="G1405" s="103">
        <v>43.195901645299998</v>
      </c>
      <c r="H1405" s="102">
        <v>100</v>
      </c>
      <c r="I1405" s="102">
        <v>600</v>
      </c>
      <c r="J1405" s="103"/>
      <c r="K1405" s="103"/>
      <c r="L1405" s="103"/>
      <c r="M1405" s="103">
        <v>100</v>
      </c>
      <c r="N1405" s="103"/>
      <c r="O1405" s="103"/>
      <c r="P1405" s="103"/>
      <c r="Q1405" s="103"/>
      <c r="R1405" s="103"/>
      <c r="S1405" s="103"/>
      <c r="T1405" s="103"/>
      <c r="U1405" s="103"/>
      <c r="V1405" s="103"/>
      <c r="W1405" s="103">
        <v>23</v>
      </c>
      <c r="X1405" s="103"/>
      <c r="Y1405" s="103">
        <v>13</v>
      </c>
      <c r="Z1405" s="103"/>
      <c r="AA1405" s="103">
        <v>28</v>
      </c>
      <c r="AB1405" s="103"/>
      <c r="AC1405" s="103"/>
      <c r="AD1405" s="103"/>
      <c r="AE1405" s="103"/>
      <c r="AF1405" s="103"/>
      <c r="AG1405" s="103">
        <v>36</v>
      </c>
      <c r="AH1405" s="103"/>
      <c r="AI1405" s="103"/>
      <c r="AJ1405" s="103"/>
      <c r="AK1405" s="103"/>
      <c r="AL1405" s="103"/>
      <c r="AM1405" s="103"/>
      <c r="AN1405" s="103">
        <v>64</v>
      </c>
      <c r="AO1405" s="103"/>
      <c r="AP1405" s="103"/>
      <c r="AQ1405" s="103"/>
      <c r="AR1405" s="103"/>
      <c r="AS1405" s="103">
        <v>36</v>
      </c>
      <c r="AT1405" s="103"/>
      <c r="AU1405" s="103"/>
      <c r="AV1405" s="103"/>
      <c r="AW1405" s="104" t="str">
        <f>HYPERLINK("http://www.openstreetmap.org/?mlat=36.3297&amp;mlon=43.1959&amp;zoom=12#map=12/36.3297/43.1959","Maplink1")</f>
        <v>Maplink1</v>
      </c>
      <c r="AX1405" s="104" t="str">
        <f>HYPERLINK("https://www.google.iq/maps/search/+36.3297,43.1959/@36.3297,43.1959,14z?hl=en","Maplink2")</f>
        <v>Maplink2</v>
      </c>
      <c r="AY1405" s="104" t="str">
        <f>HYPERLINK("http://www.bing.com/maps/?lvl=14&amp;sty=h&amp;cp=36.3297~43.1959&amp;sp=point.36.3297_43.1959","Maplink3")</f>
        <v>Maplink3</v>
      </c>
    </row>
    <row r="1406" spans="1:51" x14ac:dyDescent="0.2">
      <c r="A1406" s="102">
        <v>21007</v>
      </c>
      <c r="B1406" s="103" t="s">
        <v>35</v>
      </c>
      <c r="C1406" s="103" t="s">
        <v>102</v>
      </c>
      <c r="D1406" s="103" t="s">
        <v>2840</v>
      </c>
      <c r="E1406" s="103" t="s">
        <v>2841</v>
      </c>
      <c r="F1406" s="103">
        <v>36.349757511299998</v>
      </c>
      <c r="G1406" s="103">
        <v>43.110493027399997</v>
      </c>
      <c r="H1406" s="102">
        <v>3538</v>
      </c>
      <c r="I1406" s="102">
        <v>21228</v>
      </c>
      <c r="J1406" s="103"/>
      <c r="K1406" s="103"/>
      <c r="L1406" s="103"/>
      <c r="M1406" s="103">
        <v>3338</v>
      </c>
      <c r="N1406" s="103">
        <v>200</v>
      </c>
      <c r="O1406" s="103"/>
      <c r="P1406" s="103"/>
      <c r="Q1406" s="103"/>
      <c r="R1406" s="103"/>
      <c r="S1406" s="103"/>
      <c r="T1406" s="103"/>
      <c r="U1406" s="103"/>
      <c r="V1406" s="103"/>
      <c r="W1406" s="103"/>
      <c r="X1406" s="103"/>
      <c r="Y1406" s="103"/>
      <c r="Z1406" s="103"/>
      <c r="AA1406" s="103"/>
      <c r="AB1406" s="103"/>
      <c r="AC1406" s="103"/>
      <c r="AD1406" s="103"/>
      <c r="AE1406" s="103"/>
      <c r="AF1406" s="103"/>
      <c r="AG1406" s="103">
        <v>3538</v>
      </c>
      <c r="AH1406" s="103"/>
      <c r="AI1406" s="103"/>
      <c r="AJ1406" s="103"/>
      <c r="AK1406" s="103"/>
      <c r="AL1406" s="103"/>
      <c r="AM1406" s="103"/>
      <c r="AN1406" s="103"/>
      <c r="AO1406" s="103"/>
      <c r="AP1406" s="103"/>
      <c r="AQ1406" s="103"/>
      <c r="AR1406" s="103"/>
      <c r="AS1406" s="103">
        <v>3538</v>
      </c>
      <c r="AT1406" s="103"/>
      <c r="AU1406" s="103"/>
      <c r="AV1406" s="103"/>
      <c r="AW1406" s="104" t="str">
        <f>HYPERLINK("http://www.openstreetmap.org/?mlat=36.3498&amp;mlon=43.1105&amp;zoom=12#map=12/36.3498/43.1105","Maplink1")</f>
        <v>Maplink1</v>
      </c>
      <c r="AX1406" s="104" t="str">
        <f>HYPERLINK("https://www.google.iq/maps/search/+36.3498,43.1105/@36.3498,43.1105,14z?hl=en","Maplink2")</f>
        <v>Maplink2</v>
      </c>
      <c r="AY1406" s="104" t="str">
        <f>HYPERLINK("http://www.bing.com/maps/?lvl=14&amp;sty=h&amp;cp=36.3498~43.1105&amp;sp=point.36.3498_43.1105","Maplink3")</f>
        <v>Maplink3</v>
      </c>
    </row>
    <row r="1407" spans="1:51" x14ac:dyDescent="0.2">
      <c r="A1407" s="102">
        <v>18001</v>
      </c>
      <c r="B1407" s="103" t="s">
        <v>35</v>
      </c>
      <c r="C1407" s="103" t="s">
        <v>102</v>
      </c>
      <c r="D1407" s="103" t="s">
        <v>2842</v>
      </c>
      <c r="E1407" s="103" t="s">
        <v>2843</v>
      </c>
      <c r="F1407" s="103">
        <v>36.084716109200002</v>
      </c>
      <c r="G1407" s="103">
        <v>43.024217694000001</v>
      </c>
      <c r="H1407" s="102">
        <v>44</v>
      </c>
      <c r="I1407" s="102">
        <v>264</v>
      </c>
      <c r="J1407" s="103"/>
      <c r="K1407" s="103"/>
      <c r="L1407" s="103"/>
      <c r="M1407" s="103">
        <v>44</v>
      </c>
      <c r="N1407" s="103"/>
      <c r="O1407" s="103"/>
      <c r="P1407" s="103"/>
      <c r="Q1407" s="103"/>
      <c r="R1407" s="103"/>
      <c r="S1407" s="103"/>
      <c r="T1407" s="103"/>
      <c r="U1407" s="103"/>
      <c r="V1407" s="103"/>
      <c r="W1407" s="103"/>
      <c r="X1407" s="103"/>
      <c r="Y1407" s="103"/>
      <c r="Z1407" s="103"/>
      <c r="AA1407" s="103"/>
      <c r="AB1407" s="103"/>
      <c r="AC1407" s="103"/>
      <c r="AD1407" s="103"/>
      <c r="AE1407" s="103"/>
      <c r="AF1407" s="103"/>
      <c r="AG1407" s="103">
        <v>44</v>
      </c>
      <c r="AH1407" s="103"/>
      <c r="AI1407" s="103"/>
      <c r="AJ1407" s="103"/>
      <c r="AK1407" s="103"/>
      <c r="AL1407" s="103"/>
      <c r="AM1407" s="103"/>
      <c r="AN1407" s="103"/>
      <c r="AO1407" s="103"/>
      <c r="AP1407" s="103"/>
      <c r="AQ1407" s="103"/>
      <c r="AR1407" s="103"/>
      <c r="AS1407" s="103">
        <v>44</v>
      </c>
      <c r="AT1407" s="103"/>
      <c r="AU1407" s="103"/>
      <c r="AV1407" s="103"/>
      <c r="AW1407" s="104" t="str">
        <f>HYPERLINK("http://www.openstreetmap.org/?mlat=36.0847&amp;mlon=43.0242&amp;zoom=12#map=12/36.0847/43.0242","Maplink1")</f>
        <v>Maplink1</v>
      </c>
      <c r="AX1407" s="104" t="str">
        <f>HYPERLINK("https://www.google.iq/maps/search/+36.0847,43.0242/@36.0847,43.0242,14z?hl=en","Maplink2")</f>
        <v>Maplink2</v>
      </c>
      <c r="AY1407" s="104" t="str">
        <f>HYPERLINK("http://www.bing.com/maps/?lvl=14&amp;sty=h&amp;cp=36.0847~43.0242&amp;sp=point.36.0847_43.0242","Maplink3")</f>
        <v>Maplink3</v>
      </c>
    </row>
    <row r="1408" spans="1:51" x14ac:dyDescent="0.2">
      <c r="A1408" s="102">
        <v>17574</v>
      </c>
      <c r="B1408" s="103" t="s">
        <v>35</v>
      </c>
      <c r="C1408" s="103" t="s">
        <v>102</v>
      </c>
      <c r="D1408" s="103" t="s">
        <v>2844</v>
      </c>
      <c r="E1408" s="103" t="s">
        <v>2845</v>
      </c>
      <c r="F1408" s="103">
        <v>36.515644324900002</v>
      </c>
      <c r="G1408" s="103">
        <v>42.733362328200002</v>
      </c>
      <c r="H1408" s="102">
        <v>255</v>
      </c>
      <c r="I1408" s="102">
        <v>1530</v>
      </c>
      <c r="J1408" s="103"/>
      <c r="K1408" s="103"/>
      <c r="L1408" s="103"/>
      <c r="M1408" s="103">
        <v>255</v>
      </c>
      <c r="N1408" s="103"/>
      <c r="O1408" s="103"/>
      <c r="P1408" s="103"/>
      <c r="Q1408" s="103"/>
      <c r="R1408" s="103"/>
      <c r="S1408" s="103"/>
      <c r="T1408" s="103"/>
      <c r="U1408" s="103"/>
      <c r="V1408" s="103"/>
      <c r="W1408" s="103"/>
      <c r="X1408" s="103"/>
      <c r="Y1408" s="103"/>
      <c r="Z1408" s="103"/>
      <c r="AA1408" s="103"/>
      <c r="AB1408" s="103"/>
      <c r="AC1408" s="103"/>
      <c r="AD1408" s="103"/>
      <c r="AE1408" s="103"/>
      <c r="AF1408" s="103"/>
      <c r="AG1408" s="103">
        <v>255</v>
      </c>
      <c r="AH1408" s="103"/>
      <c r="AI1408" s="103"/>
      <c r="AJ1408" s="103"/>
      <c r="AK1408" s="103"/>
      <c r="AL1408" s="103"/>
      <c r="AM1408" s="103"/>
      <c r="AN1408" s="103"/>
      <c r="AO1408" s="103"/>
      <c r="AP1408" s="103">
        <v>235</v>
      </c>
      <c r="AQ1408" s="103">
        <v>20</v>
      </c>
      <c r="AR1408" s="103"/>
      <c r="AS1408" s="103"/>
      <c r="AT1408" s="103"/>
      <c r="AU1408" s="103"/>
      <c r="AV1408" s="103"/>
      <c r="AW1408" s="104" t="str">
        <f>HYPERLINK("http://www.openstreetmap.org/?mlat=36.5156&amp;mlon=42.7334&amp;zoom=12#map=12/36.5156/42.7334","Maplink1")</f>
        <v>Maplink1</v>
      </c>
      <c r="AX1408" s="104" t="str">
        <f>HYPERLINK("https://www.google.iq/maps/search/+36.5156,42.7334/@36.5156,42.7334,14z?hl=en","Maplink2")</f>
        <v>Maplink2</v>
      </c>
      <c r="AY1408" s="104" t="str">
        <f>HYPERLINK("http://www.bing.com/maps/?lvl=14&amp;sty=h&amp;cp=36.5156~42.7334&amp;sp=point.36.5156_42.7334","Maplink3")</f>
        <v>Maplink3</v>
      </c>
    </row>
    <row r="1409" spans="1:51" x14ac:dyDescent="0.2">
      <c r="A1409" s="102">
        <v>22440</v>
      </c>
      <c r="B1409" s="103" t="s">
        <v>35</v>
      </c>
      <c r="C1409" s="103" t="s">
        <v>102</v>
      </c>
      <c r="D1409" s="103" t="s">
        <v>2846</v>
      </c>
      <c r="E1409" s="103" t="s">
        <v>2847</v>
      </c>
      <c r="F1409" s="103">
        <v>36.4912867034</v>
      </c>
      <c r="G1409" s="103">
        <v>43.216678724099999</v>
      </c>
      <c r="H1409" s="102">
        <v>95</v>
      </c>
      <c r="I1409" s="102">
        <v>570</v>
      </c>
      <c r="J1409" s="103"/>
      <c r="K1409" s="103"/>
      <c r="L1409" s="103"/>
      <c r="M1409" s="103">
        <v>95</v>
      </c>
      <c r="N1409" s="103"/>
      <c r="O1409" s="103"/>
      <c r="P1409" s="103"/>
      <c r="Q1409" s="103"/>
      <c r="R1409" s="103"/>
      <c r="S1409" s="103"/>
      <c r="T1409" s="103"/>
      <c r="U1409" s="103"/>
      <c r="V1409" s="103"/>
      <c r="W1409" s="103"/>
      <c r="X1409" s="103"/>
      <c r="Y1409" s="103"/>
      <c r="Z1409" s="103"/>
      <c r="AA1409" s="103"/>
      <c r="AB1409" s="103"/>
      <c r="AC1409" s="103"/>
      <c r="AD1409" s="103"/>
      <c r="AE1409" s="103"/>
      <c r="AF1409" s="103"/>
      <c r="AG1409" s="103">
        <v>95</v>
      </c>
      <c r="AH1409" s="103"/>
      <c r="AI1409" s="103"/>
      <c r="AJ1409" s="103"/>
      <c r="AK1409" s="103"/>
      <c r="AL1409" s="103"/>
      <c r="AM1409" s="103"/>
      <c r="AN1409" s="103"/>
      <c r="AO1409" s="103">
        <v>11</v>
      </c>
      <c r="AP1409" s="103"/>
      <c r="AQ1409" s="103"/>
      <c r="AR1409" s="103">
        <v>28</v>
      </c>
      <c r="AS1409" s="103">
        <v>56</v>
      </c>
      <c r="AT1409" s="103"/>
      <c r="AU1409" s="103"/>
      <c r="AV1409" s="103"/>
      <c r="AW1409" s="104" t="str">
        <f>HYPERLINK("http://www.openstreetmap.org/?mlat=36.4913&amp;mlon=43.2167&amp;zoom=12#map=12/36.4913/43.2167","Maplink1")</f>
        <v>Maplink1</v>
      </c>
      <c r="AX1409" s="104" t="str">
        <f>HYPERLINK("https://www.google.iq/maps/search/+36.4913,43.2167/@36.4913,43.2167,14z?hl=en","Maplink2")</f>
        <v>Maplink2</v>
      </c>
      <c r="AY1409" s="104" t="str">
        <f>HYPERLINK("http://www.bing.com/maps/?lvl=14&amp;sty=h&amp;cp=36.4913~43.2167&amp;sp=point.36.4913_43.2167","Maplink3")</f>
        <v>Maplink3</v>
      </c>
    </row>
    <row r="1410" spans="1:51" x14ac:dyDescent="0.2">
      <c r="A1410" s="102">
        <v>31730</v>
      </c>
      <c r="B1410" s="103" t="s">
        <v>35</v>
      </c>
      <c r="C1410" s="103" t="s">
        <v>102</v>
      </c>
      <c r="D1410" s="103" t="s">
        <v>2848</v>
      </c>
      <c r="E1410" s="103" t="s">
        <v>2849</v>
      </c>
      <c r="F1410" s="103">
        <v>36.130703331399999</v>
      </c>
      <c r="G1410" s="103">
        <v>43.257653707899998</v>
      </c>
      <c r="H1410" s="102">
        <v>75</v>
      </c>
      <c r="I1410" s="102">
        <v>450</v>
      </c>
      <c r="J1410" s="103"/>
      <c r="K1410" s="103"/>
      <c r="L1410" s="103"/>
      <c r="M1410" s="103">
        <v>73</v>
      </c>
      <c r="N1410" s="103">
        <v>2</v>
      </c>
      <c r="O1410" s="103"/>
      <c r="P1410" s="103"/>
      <c r="Q1410" s="103"/>
      <c r="R1410" s="103"/>
      <c r="S1410" s="103"/>
      <c r="T1410" s="103"/>
      <c r="U1410" s="103"/>
      <c r="V1410" s="103"/>
      <c r="W1410" s="103"/>
      <c r="X1410" s="103"/>
      <c r="Y1410" s="103"/>
      <c r="Z1410" s="103"/>
      <c r="AA1410" s="103"/>
      <c r="AB1410" s="103"/>
      <c r="AC1410" s="103"/>
      <c r="AD1410" s="103"/>
      <c r="AE1410" s="103"/>
      <c r="AF1410" s="103"/>
      <c r="AG1410" s="103">
        <v>75</v>
      </c>
      <c r="AH1410" s="103"/>
      <c r="AI1410" s="103"/>
      <c r="AJ1410" s="103"/>
      <c r="AK1410" s="103"/>
      <c r="AL1410" s="103"/>
      <c r="AM1410" s="103"/>
      <c r="AN1410" s="103"/>
      <c r="AO1410" s="103"/>
      <c r="AP1410" s="103"/>
      <c r="AQ1410" s="103"/>
      <c r="AR1410" s="103"/>
      <c r="AS1410" s="103">
        <v>75</v>
      </c>
      <c r="AT1410" s="103"/>
      <c r="AU1410" s="103"/>
      <c r="AV1410" s="103"/>
      <c r="AW1410" s="104" t="str">
        <f>HYPERLINK("http://www.openstreetmap.org/?mlat=36.1307&amp;mlon=43.2577&amp;zoom=12#map=12/36.1307/43.2577","Maplink1")</f>
        <v>Maplink1</v>
      </c>
      <c r="AX1410" s="104" t="str">
        <f>HYPERLINK("https://www.google.iq/maps/search/+36.1307,43.2577/@36.1307,43.2577,14z?hl=en","Maplink2")</f>
        <v>Maplink2</v>
      </c>
      <c r="AY1410" s="104" t="str">
        <f>HYPERLINK("http://www.bing.com/maps/?lvl=14&amp;sty=h&amp;cp=36.1307~43.2577&amp;sp=point.36.1307_43.2577","Maplink3")</f>
        <v>Maplink3</v>
      </c>
    </row>
    <row r="1411" spans="1:51" x14ac:dyDescent="0.2">
      <c r="A1411" s="102">
        <v>17522</v>
      </c>
      <c r="B1411" s="103" t="s">
        <v>35</v>
      </c>
      <c r="C1411" s="103" t="s">
        <v>102</v>
      </c>
      <c r="D1411" s="103" t="s">
        <v>2850</v>
      </c>
      <c r="E1411" s="103" t="s">
        <v>2851</v>
      </c>
      <c r="F1411" s="103">
        <v>36.211329999999997</v>
      </c>
      <c r="G1411" s="103">
        <v>43.210697126299998</v>
      </c>
      <c r="H1411" s="102">
        <v>150</v>
      </c>
      <c r="I1411" s="102">
        <v>900</v>
      </c>
      <c r="J1411" s="103"/>
      <c r="K1411" s="103"/>
      <c r="L1411" s="103"/>
      <c r="M1411" s="103">
        <v>100</v>
      </c>
      <c r="N1411" s="103">
        <v>50</v>
      </c>
      <c r="O1411" s="103"/>
      <c r="P1411" s="103"/>
      <c r="Q1411" s="103"/>
      <c r="R1411" s="103"/>
      <c r="S1411" s="103"/>
      <c r="T1411" s="103"/>
      <c r="U1411" s="103"/>
      <c r="V1411" s="103"/>
      <c r="W1411" s="103"/>
      <c r="X1411" s="103"/>
      <c r="Y1411" s="103"/>
      <c r="Z1411" s="103"/>
      <c r="AA1411" s="103">
        <v>25</v>
      </c>
      <c r="AB1411" s="103"/>
      <c r="AC1411" s="103"/>
      <c r="AD1411" s="103"/>
      <c r="AE1411" s="103"/>
      <c r="AF1411" s="103"/>
      <c r="AG1411" s="103">
        <v>125</v>
      </c>
      <c r="AH1411" s="103"/>
      <c r="AI1411" s="103"/>
      <c r="AJ1411" s="103"/>
      <c r="AK1411" s="103"/>
      <c r="AL1411" s="103"/>
      <c r="AM1411" s="103"/>
      <c r="AN1411" s="103"/>
      <c r="AO1411" s="103"/>
      <c r="AP1411" s="103">
        <v>25</v>
      </c>
      <c r="AQ1411" s="103"/>
      <c r="AR1411" s="103"/>
      <c r="AS1411" s="103">
        <v>125</v>
      </c>
      <c r="AT1411" s="103"/>
      <c r="AU1411" s="103"/>
      <c r="AV1411" s="103"/>
      <c r="AW1411" s="104" t="str">
        <f>HYPERLINK("http://www.openstreetmap.org/?mlat=36.2113&amp;mlon=43.2107&amp;zoom=12#map=12/36.2113/43.2107","Maplink1")</f>
        <v>Maplink1</v>
      </c>
      <c r="AX1411" s="104" t="str">
        <f>HYPERLINK("https://www.google.iq/maps/search/+36.2113,43.2107/@36.2113,43.2107,14z?hl=en","Maplink2")</f>
        <v>Maplink2</v>
      </c>
      <c r="AY1411" s="104" t="str">
        <f>HYPERLINK("http://www.bing.com/maps/?lvl=14&amp;sty=h&amp;cp=36.2113~43.2107&amp;sp=point.36.2113_43.2107","Maplink3")</f>
        <v>Maplink3</v>
      </c>
    </row>
    <row r="1412" spans="1:51" x14ac:dyDescent="0.2">
      <c r="A1412" s="102">
        <v>31922</v>
      </c>
      <c r="B1412" s="103" t="s">
        <v>35</v>
      </c>
      <c r="C1412" s="103" t="s">
        <v>102</v>
      </c>
      <c r="D1412" s="103" t="s">
        <v>2852</v>
      </c>
      <c r="E1412" s="103" t="s">
        <v>2853</v>
      </c>
      <c r="F1412" s="103">
        <v>36.3335761401</v>
      </c>
      <c r="G1412" s="103">
        <v>43.164727861700001</v>
      </c>
      <c r="H1412" s="102">
        <v>137</v>
      </c>
      <c r="I1412" s="102">
        <v>822</v>
      </c>
      <c r="J1412" s="103"/>
      <c r="K1412" s="103"/>
      <c r="L1412" s="103"/>
      <c r="M1412" s="103">
        <v>137</v>
      </c>
      <c r="N1412" s="103"/>
      <c r="O1412" s="103"/>
      <c r="P1412" s="103"/>
      <c r="Q1412" s="103"/>
      <c r="R1412" s="103"/>
      <c r="S1412" s="103"/>
      <c r="T1412" s="103"/>
      <c r="U1412" s="103"/>
      <c r="V1412" s="103"/>
      <c r="W1412" s="103">
        <v>5</v>
      </c>
      <c r="X1412" s="103"/>
      <c r="Y1412" s="103">
        <v>21</v>
      </c>
      <c r="Z1412" s="103"/>
      <c r="AA1412" s="103">
        <v>23</v>
      </c>
      <c r="AB1412" s="103"/>
      <c r="AC1412" s="103"/>
      <c r="AD1412" s="103"/>
      <c r="AE1412" s="103"/>
      <c r="AF1412" s="103"/>
      <c r="AG1412" s="103">
        <v>86</v>
      </c>
      <c r="AH1412" s="103"/>
      <c r="AI1412" s="103"/>
      <c r="AJ1412" s="103">
        <v>2</v>
      </c>
      <c r="AK1412" s="103"/>
      <c r="AL1412" s="103"/>
      <c r="AM1412" s="103"/>
      <c r="AN1412" s="103">
        <v>51</v>
      </c>
      <c r="AO1412" s="103"/>
      <c r="AP1412" s="103"/>
      <c r="AQ1412" s="103"/>
      <c r="AR1412" s="103"/>
      <c r="AS1412" s="103">
        <v>86</v>
      </c>
      <c r="AT1412" s="103"/>
      <c r="AU1412" s="103"/>
      <c r="AV1412" s="103"/>
      <c r="AW1412" s="104" t="str">
        <f>HYPERLINK("http://www.openstreetmap.org/?mlat=36.3336&amp;mlon=43.1647&amp;zoom=12#map=12/36.3336/43.1647","Maplink1")</f>
        <v>Maplink1</v>
      </c>
      <c r="AX1412" s="104" t="str">
        <f>HYPERLINK("https://www.google.iq/maps/search/+36.3336,43.1647/@36.3336,43.1647,14z?hl=en","Maplink2")</f>
        <v>Maplink2</v>
      </c>
      <c r="AY1412" s="104" t="str">
        <f>HYPERLINK("http://www.bing.com/maps/?lvl=14&amp;sty=h&amp;cp=36.3336~43.1647&amp;sp=point.36.3336_43.1647","Maplink3")</f>
        <v>Maplink3</v>
      </c>
    </row>
    <row r="1413" spans="1:51" x14ac:dyDescent="0.2">
      <c r="A1413" s="102">
        <v>17993</v>
      </c>
      <c r="B1413" s="103" t="s">
        <v>35</v>
      </c>
      <c r="C1413" s="103" t="s">
        <v>102</v>
      </c>
      <c r="D1413" s="103" t="s">
        <v>2854</v>
      </c>
      <c r="E1413" s="103" t="s">
        <v>2855</v>
      </c>
      <c r="F1413" s="103">
        <v>36.273088999999999</v>
      </c>
      <c r="G1413" s="103">
        <v>43.156365067599999</v>
      </c>
      <c r="H1413" s="102">
        <v>911</v>
      </c>
      <c r="I1413" s="102">
        <v>5466</v>
      </c>
      <c r="J1413" s="103"/>
      <c r="K1413" s="103"/>
      <c r="L1413" s="103"/>
      <c r="M1413" s="103">
        <v>670</v>
      </c>
      <c r="N1413" s="103">
        <v>241</v>
      </c>
      <c r="O1413" s="103"/>
      <c r="P1413" s="103"/>
      <c r="Q1413" s="103"/>
      <c r="R1413" s="103"/>
      <c r="S1413" s="103"/>
      <c r="T1413" s="103"/>
      <c r="U1413" s="103"/>
      <c r="V1413" s="103"/>
      <c r="W1413" s="103">
        <v>15</v>
      </c>
      <c r="X1413" s="103"/>
      <c r="Y1413" s="103"/>
      <c r="Z1413" s="103"/>
      <c r="AA1413" s="103">
        <v>100</v>
      </c>
      <c r="AB1413" s="103"/>
      <c r="AC1413" s="103">
        <v>45</v>
      </c>
      <c r="AD1413" s="103"/>
      <c r="AE1413" s="103"/>
      <c r="AF1413" s="103"/>
      <c r="AG1413" s="103">
        <v>751</v>
      </c>
      <c r="AH1413" s="103"/>
      <c r="AI1413" s="103"/>
      <c r="AJ1413" s="103"/>
      <c r="AK1413" s="103"/>
      <c r="AL1413" s="103"/>
      <c r="AM1413" s="103"/>
      <c r="AN1413" s="103"/>
      <c r="AO1413" s="103"/>
      <c r="AP1413" s="103"/>
      <c r="AQ1413" s="103"/>
      <c r="AR1413" s="103"/>
      <c r="AS1413" s="103">
        <v>911</v>
      </c>
      <c r="AT1413" s="103"/>
      <c r="AU1413" s="103"/>
      <c r="AV1413" s="103"/>
      <c r="AW1413" s="104" t="str">
        <f>HYPERLINK("http://www.openstreetmap.org/?mlat=36.2731&amp;mlon=43.1564&amp;zoom=12#map=12/36.2731/43.1564","Maplink1")</f>
        <v>Maplink1</v>
      </c>
      <c r="AX1413" s="104" t="str">
        <f>HYPERLINK("https://www.google.iq/maps/search/+36.2731,43.1564/@36.2731,43.1564,14z?hl=en","Maplink2")</f>
        <v>Maplink2</v>
      </c>
      <c r="AY1413" s="104" t="str">
        <f>HYPERLINK("http://www.bing.com/maps/?lvl=14&amp;sty=h&amp;cp=36.2731~43.1564&amp;sp=point.36.2731_43.1564","Maplink3")</f>
        <v>Maplink3</v>
      </c>
    </row>
    <row r="1414" spans="1:51" x14ac:dyDescent="0.2">
      <c r="A1414" s="102">
        <v>33255</v>
      </c>
      <c r="B1414" s="103" t="s">
        <v>35</v>
      </c>
      <c r="C1414" s="103" t="s">
        <v>102</v>
      </c>
      <c r="D1414" s="103" t="s">
        <v>2856</v>
      </c>
      <c r="E1414" s="103" t="s">
        <v>2857</v>
      </c>
      <c r="F1414" s="103">
        <v>36.350566171399997</v>
      </c>
      <c r="G1414" s="103">
        <v>43.096554378900002</v>
      </c>
      <c r="H1414" s="102">
        <v>384</v>
      </c>
      <c r="I1414" s="102">
        <v>2304</v>
      </c>
      <c r="J1414" s="103"/>
      <c r="K1414" s="103"/>
      <c r="L1414" s="103"/>
      <c r="M1414" s="103">
        <v>384</v>
      </c>
      <c r="N1414" s="103"/>
      <c r="O1414" s="103"/>
      <c r="P1414" s="103"/>
      <c r="Q1414" s="103"/>
      <c r="R1414" s="103"/>
      <c r="S1414" s="103"/>
      <c r="T1414" s="103"/>
      <c r="U1414" s="103"/>
      <c r="V1414" s="103"/>
      <c r="W1414" s="103"/>
      <c r="X1414" s="103"/>
      <c r="Y1414" s="103"/>
      <c r="Z1414" s="103"/>
      <c r="AA1414" s="103"/>
      <c r="AB1414" s="103"/>
      <c r="AC1414" s="103"/>
      <c r="AD1414" s="103"/>
      <c r="AE1414" s="103"/>
      <c r="AF1414" s="103"/>
      <c r="AG1414" s="103">
        <v>384</v>
      </c>
      <c r="AH1414" s="103"/>
      <c r="AI1414" s="103"/>
      <c r="AJ1414" s="103"/>
      <c r="AK1414" s="103"/>
      <c r="AL1414" s="103"/>
      <c r="AM1414" s="103"/>
      <c r="AN1414" s="103"/>
      <c r="AO1414" s="103"/>
      <c r="AP1414" s="103"/>
      <c r="AQ1414" s="103"/>
      <c r="AR1414" s="103"/>
      <c r="AS1414" s="103">
        <v>384</v>
      </c>
      <c r="AT1414" s="103"/>
      <c r="AU1414" s="103"/>
      <c r="AV1414" s="103"/>
      <c r="AW1414" s="104" t="str">
        <f>HYPERLINK("http://www.openstreetmap.org/?mlat=36.3506&amp;mlon=43.0966&amp;zoom=12#map=12/36.3506/43.0966","Maplink1")</f>
        <v>Maplink1</v>
      </c>
      <c r="AX1414" s="104" t="str">
        <f>HYPERLINK("https://www.google.iq/maps/search/+36.3506,43.0966/@36.3506,43.0966,14z?hl=en","Maplink2")</f>
        <v>Maplink2</v>
      </c>
      <c r="AY1414" s="104" t="str">
        <f>HYPERLINK("http://www.bing.com/maps/?lvl=14&amp;sty=h&amp;cp=36.3506~43.0966&amp;sp=point.36.3506_43.0966","Maplink3")</f>
        <v>Maplink3</v>
      </c>
    </row>
    <row r="1415" spans="1:51" x14ac:dyDescent="0.2">
      <c r="A1415" s="102">
        <v>23930</v>
      </c>
      <c r="B1415" s="103" t="s">
        <v>35</v>
      </c>
      <c r="C1415" s="103" t="s">
        <v>102</v>
      </c>
      <c r="D1415" s="103" t="s">
        <v>2807</v>
      </c>
      <c r="E1415" s="103" t="s">
        <v>2808</v>
      </c>
      <c r="F1415" s="103">
        <v>35.711837043800003</v>
      </c>
      <c r="G1415" s="103">
        <v>43.305641544099998</v>
      </c>
      <c r="H1415" s="102">
        <v>30</v>
      </c>
      <c r="I1415" s="102">
        <v>180</v>
      </c>
      <c r="J1415" s="103"/>
      <c r="K1415" s="103"/>
      <c r="L1415" s="103"/>
      <c r="M1415" s="103">
        <v>30</v>
      </c>
      <c r="N1415" s="103"/>
      <c r="O1415" s="103"/>
      <c r="P1415" s="103"/>
      <c r="Q1415" s="103"/>
      <c r="R1415" s="103"/>
      <c r="S1415" s="103"/>
      <c r="T1415" s="103"/>
      <c r="U1415" s="103"/>
      <c r="V1415" s="103"/>
      <c r="W1415" s="103"/>
      <c r="X1415" s="103"/>
      <c r="Y1415" s="103"/>
      <c r="Z1415" s="103"/>
      <c r="AA1415" s="103">
        <v>25</v>
      </c>
      <c r="AB1415" s="103"/>
      <c r="AC1415" s="103">
        <v>5</v>
      </c>
      <c r="AD1415" s="103"/>
      <c r="AE1415" s="103"/>
      <c r="AF1415" s="103"/>
      <c r="AG1415" s="103"/>
      <c r="AH1415" s="103"/>
      <c r="AI1415" s="103"/>
      <c r="AJ1415" s="103"/>
      <c r="AK1415" s="103"/>
      <c r="AL1415" s="103"/>
      <c r="AM1415" s="103"/>
      <c r="AN1415" s="103"/>
      <c r="AO1415" s="103"/>
      <c r="AP1415" s="103"/>
      <c r="AQ1415" s="103"/>
      <c r="AR1415" s="103">
        <v>30</v>
      </c>
      <c r="AS1415" s="103"/>
      <c r="AT1415" s="103"/>
      <c r="AU1415" s="103"/>
      <c r="AV1415" s="103"/>
      <c r="AW1415" s="104" t="str">
        <f>HYPERLINK("http://www.openstreetmap.org/?mlat=35.7118&amp;mlon=43.3056&amp;zoom=12#map=12/35.7118/43.3056","Maplink1")</f>
        <v>Maplink1</v>
      </c>
      <c r="AX1415" s="104" t="str">
        <f>HYPERLINK("https://www.google.iq/maps/search/+35.7118,43.3056/@35.7118,43.3056,14z?hl=en","Maplink2")</f>
        <v>Maplink2</v>
      </c>
      <c r="AY1415" s="104" t="str">
        <f>HYPERLINK("http://www.bing.com/maps/?lvl=14&amp;sty=h&amp;cp=35.7118~43.3056&amp;sp=point.35.7118_43.3056","Maplink3")</f>
        <v>Maplink3</v>
      </c>
    </row>
    <row r="1416" spans="1:51" x14ac:dyDescent="0.2">
      <c r="A1416" s="102">
        <v>18344</v>
      </c>
      <c r="B1416" s="103" t="s">
        <v>35</v>
      </c>
      <c r="C1416" s="103" t="s">
        <v>102</v>
      </c>
      <c r="D1416" s="103" t="s">
        <v>2007</v>
      </c>
      <c r="E1416" s="103" t="s">
        <v>2809</v>
      </c>
      <c r="F1416" s="103">
        <v>36.330282338799996</v>
      </c>
      <c r="G1416" s="103">
        <v>43.089793483199998</v>
      </c>
      <c r="H1416" s="102">
        <v>2751</v>
      </c>
      <c r="I1416" s="102">
        <v>16506</v>
      </c>
      <c r="J1416" s="103"/>
      <c r="K1416" s="103"/>
      <c r="L1416" s="103"/>
      <c r="M1416" s="103">
        <v>2751</v>
      </c>
      <c r="N1416" s="103"/>
      <c r="O1416" s="103"/>
      <c r="P1416" s="103"/>
      <c r="Q1416" s="103"/>
      <c r="R1416" s="103"/>
      <c r="S1416" s="103"/>
      <c r="T1416" s="103"/>
      <c r="U1416" s="103"/>
      <c r="V1416" s="103"/>
      <c r="W1416" s="103"/>
      <c r="X1416" s="103"/>
      <c r="Y1416" s="103"/>
      <c r="Z1416" s="103"/>
      <c r="AA1416" s="103"/>
      <c r="AB1416" s="103"/>
      <c r="AC1416" s="103"/>
      <c r="AD1416" s="103"/>
      <c r="AE1416" s="103"/>
      <c r="AF1416" s="103"/>
      <c r="AG1416" s="103">
        <v>2751</v>
      </c>
      <c r="AH1416" s="103"/>
      <c r="AI1416" s="103"/>
      <c r="AJ1416" s="103"/>
      <c r="AK1416" s="103"/>
      <c r="AL1416" s="103"/>
      <c r="AM1416" s="103"/>
      <c r="AN1416" s="103"/>
      <c r="AO1416" s="103"/>
      <c r="AP1416" s="103"/>
      <c r="AQ1416" s="103"/>
      <c r="AR1416" s="103"/>
      <c r="AS1416" s="103">
        <v>2751</v>
      </c>
      <c r="AT1416" s="103"/>
      <c r="AU1416" s="103"/>
      <c r="AV1416" s="103"/>
      <c r="AW1416" s="104" t="str">
        <f>HYPERLINK("http://www.openstreetmap.org/?mlat=36.3303&amp;mlon=43.0898&amp;zoom=12#map=12/36.3303/43.0898","Maplink1")</f>
        <v>Maplink1</v>
      </c>
      <c r="AX1416" s="104" t="str">
        <f>HYPERLINK("https://www.google.iq/maps/search/+36.3303,43.0898/@36.3303,43.0898,14z?hl=en","Maplink2")</f>
        <v>Maplink2</v>
      </c>
      <c r="AY1416" s="104" t="str">
        <f>HYPERLINK("http://www.bing.com/maps/?lvl=14&amp;sty=h&amp;cp=36.3303~43.0898&amp;sp=point.36.3303_43.0898","Maplink3")</f>
        <v>Maplink3</v>
      </c>
    </row>
    <row r="1417" spans="1:51" x14ac:dyDescent="0.2">
      <c r="A1417" s="102">
        <v>33266</v>
      </c>
      <c r="B1417" s="103" t="s">
        <v>35</v>
      </c>
      <c r="C1417" s="103" t="s">
        <v>102</v>
      </c>
      <c r="D1417" s="103" t="s">
        <v>2810</v>
      </c>
      <c r="E1417" s="103" t="s">
        <v>2811</v>
      </c>
      <c r="F1417" s="103">
        <v>36.334240000000001</v>
      </c>
      <c r="G1417" s="103">
        <v>43.145285554399997</v>
      </c>
      <c r="H1417" s="102">
        <v>156</v>
      </c>
      <c r="I1417" s="102">
        <v>936</v>
      </c>
      <c r="J1417" s="103"/>
      <c r="K1417" s="103"/>
      <c r="L1417" s="103"/>
      <c r="M1417" s="103">
        <v>156</v>
      </c>
      <c r="N1417" s="103"/>
      <c r="O1417" s="103"/>
      <c r="P1417" s="103"/>
      <c r="Q1417" s="103"/>
      <c r="R1417" s="103"/>
      <c r="S1417" s="103"/>
      <c r="T1417" s="103"/>
      <c r="U1417" s="103"/>
      <c r="V1417" s="103"/>
      <c r="W1417" s="103"/>
      <c r="X1417" s="103"/>
      <c r="Y1417" s="103"/>
      <c r="Z1417" s="103"/>
      <c r="AA1417" s="103">
        <v>5</v>
      </c>
      <c r="AB1417" s="103"/>
      <c r="AC1417" s="103"/>
      <c r="AD1417" s="103"/>
      <c r="AE1417" s="103"/>
      <c r="AF1417" s="103"/>
      <c r="AG1417" s="103">
        <v>151</v>
      </c>
      <c r="AH1417" s="103"/>
      <c r="AI1417" s="103"/>
      <c r="AJ1417" s="103"/>
      <c r="AK1417" s="103"/>
      <c r="AL1417" s="103"/>
      <c r="AM1417" s="103"/>
      <c r="AN1417" s="103"/>
      <c r="AO1417" s="103"/>
      <c r="AP1417" s="103"/>
      <c r="AQ1417" s="103"/>
      <c r="AR1417" s="103"/>
      <c r="AS1417" s="103">
        <v>156</v>
      </c>
      <c r="AT1417" s="103"/>
      <c r="AU1417" s="103"/>
      <c r="AV1417" s="103"/>
      <c r="AW1417" s="104" t="str">
        <f>HYPERLINK("http://www.openstreetmap.org/?mlat=36.3342&amp;mlon=43.1453&amp;zoom=12#map=12/36.3342/43.1453","Maplink1")</f>
        <v>Maplink1</v>
      </c>
      <c r="AX1417" s="104" t="str">
        <f>HYPERLINK("https://www.google.iq/maps/search/+36.3342,43.1453/@36.3342,43.1453,14z?hl=en","Maplink2")</f>
        <v>Maplink2</v>
      </c>
      <c r="AY1417" s="104" t="str">
        <f>HYPERLINK("http://www.bing.com/maps/?lvl=14&amp;sty=h&amp;cp=36.3342~43.1453&amp;sp=point.36.3342_43.1453","Maplink3")</f>
        <v>Maplink3</v>
      </c>
    </row>
    <row r="1418" spans="1:51" x14ac:dyDescent="0.2">
      <c r="A1418" s="102">
        <v>33376</v>
      </c>
      <c r="B1418" s="103" t="s">
        <v>35</v>
      </c>
      <c r="C1418" s="103" t="s">
        <v>102</v>
      </c>
      <c r="D1418" s="103" t="s">
        <v>2812</v>
      </c>
      <c r="E1418" s="103" t="s">
        <v>325</v>
      </c>
      <c r="F1418" s="103">
        <v>36.375080492999999</v>
      </c>
      <c r="G1418" s="103">
        <v>43.135761890799998</v>
      </c>
      <c r="H1418" s="102">
        <v>234</v>
      </c>
      <c r="I1418" s="102">
        <v>1404</v>
      </c>
      <c r="J1418" s="103"/>
      <c r="K1418" s="103"/>
      <c r="L1418" s="103"/>
      <c r="M1418" s="103">
        <v>234</v>
      </c>
      <c r="N1418" s="103"/>
      <c r="O1418" s="103"/>
      <c r="P1418" s="103"/>
      <c r="Q1418" s="103"/>
      <c r="R1418" s="103"/>
      <c r="S1418" s="103"/>
      <c r="T1418" s="103"/>
      <c r="U1418" s="103"/>
      <c r="V1418" s="103"/>
      <c r="W1418" s="103">
        <v>11</v>
      </c>
      <c r="X1418" s="103"/>
      <c r="Y1418" s="103">
        <v>21</v>
      </c>
      <c r="Z1418" s="103"/>
      <c r="AA1418" s="103">
        <v>20</v>
      </c>
      <c r="AB1418" s="103"/>
      <c r="AC1418" s="103">
        <v>4</v>
      </c>
      <c r="AD1418" s="103"/>
      <c r="AE1418" s="103"/>
      <c r="AF1418" s="103"/>
      <c r="AG1418" s="103">
        <v>178</v>
      </c>
      <c r="AH1418" s="103"/>
      <c r="AI1418" s="103"/>
      <c r="AJ1418" s="103"/>
      <c r="AK1418" s="103"/>
      <c r="AL1418" s="103"/>
      <c r="AM1418" s="103"/>
      <c r="AN1418" s="103">
        <v>56</v>
      </c>
      <c r="AO1418" s="103"/>
      <c r="AP1418" s="103"/>
      <c r="AQ1418" s="103"/>
      <c r="AR1418" s="103"/>
      <c r="AS1418" s="103">
        <v>178</v>
      </c>
      <c r="AT1418" s="103"/>
      <c r="AU1418" s="103"/>
      <c r="AV1418" s="103"/>
      <c r="AW1418" s="104" t="str">
        <f>HYPERLINK("http://www.openstreetmap.org/?mlat=36.3751&amp;mlon=43.1358&amp;zoom=12#map=12/36.3751/43.1358","Maplink1")</f>
        <v>Maplink1</v>
      </c>
      <c r="AX1418" s="104" t="str">
        <f>HYPERLINK("https://www.google.iq/maps/search/+36.3751,43.1358/@36.3751,43.1358,14z?hl=en","Maplink2")</f>
        <v>Maplink2</v>
      </c>
      <c r="AY1418" s="104" t="str">
        <f>HYPERLINK("http://www.bing.com/maps/?lvl=14&amp;sty=h&amp;cp=36.3751~43.1358&amp;sp=point.36.3751_43.1358","Maplink3")</f>
        <v>Maplink3</v>
      </c>
    </row>
    <row r="1419" spans="1:51" x14ac:dyDescent="0.2">
      <c r="A1419" s="102">
        <v>33411</v>
      </c>
      <c r="B1419" s="103" t="s">
        <v>35</v>
      </c>
      <c r="C1419" s="103" t="s">
        <v>102</v>
      </c>
      <c r="D1419" s="103" t="s">
        <v>2813</v>
      </c>
      <c r="E1419" s="103" t="s">
        <v>2814</v>
      </c>
      <c r="F1419" s="103">
        <v>36.356994999999998</v>
      </c>
      <c r="G1419" s="103">
        <v>43.144806789699999</v>
      </c>
      <c r="H1419" s="102">
        <v>133</v>
      </c>
      <c r="I1419" s="102">
        <v>798</v>
      </c>
      <c r="J1419" s="103"/>
      <c r="K1419" s="103"/>
      <c r="L1419" s="103"/>
      <c r="M1419" s="103">
        <v>133</v>
      </c>
      <c r="N1419" s="103"/>
      <c r="O1419" s="103"/>
      <c r="P1419" s="103"/>
      <c r="Q1419" s="103"/>
      <c r="R1419" s="103"/>
      <c r="S1419" s="103"/>
      <c r="T1419" s="103"/>
      <c r="U1419" s="103"/>
      <c r="V1419" s="103"/>
      <c r="W1419" s="103">
        <v>15</v>
      </c>
      <c r="X1419" s="103"/>
      <c r="Y1419" s="103">
        <v>23</v>
      </c>
      <c r="Z1419" s="103"/>
      <c r="AA1419" s="103">
        <v>13</v>
      </c>
      <c r="AB1419" s="103"/>
      <c r="AC1419" s="103"/>
      <c r="AD1419" s="103"/>
      <c r="AE1419" s="103"/>
      <c r="AF1419" s="103"/>
      <c r="AG1419" s="103">
        <v>82</v>
      </c>
      <c r="AH1419" s="103"/>
      <c r="AI1419" s="103"/>
      <c r="AJ1419" s="103"/>
      <c r="AK1419" s="103"/>
      <c r="AL1419" s="103"/>
      <c r="AM1419" s="103"/>
      <c r="AN1419" s="103">
        <v>51</v>
      </c>
      <c r="AO1419" s="103"/>
      <c r="AP1419" s="103"/>
      <c r="AQ1419" s="103"/>
      <c r="AR1419" s="103"/>
      <c r="AS1419" s="103">
        <v>82</v>
      </c>
      <c r="AT1419" s="103"/>
      <c r="AU1419" s="103"/>
      <c r="AV1419" s="103"/>
      <c r="AW1419" s="104" t="str">
        <f>HYPERLINK("http://www.openstreetmap.org/?mlat=36.357&amp;mlon=43.1448&amp;zoom=12#map=12/36.357/43.1448","Maplink1")</f>
        <v>Maplink1</v>
      </c>
      <c r="AX1419" s="104" t="str">
        <f>HYPERLINK("https://www.google.iq/maps/search/+36.357,43.1448/@36.357,43.1448,14z?hl=en","Maplink2")</f>
        <v>Maplink2</v>
      </c>
      <c r="AY1419" s="104" t="str">
        <f>HYPERLINK("http://www.bing.com/maps/?lvl=14&amp;sty=h&amp;cp=36.357~43.1448&amp;sp=point.36.357_43.1448","Maplink3")</f>
        <v>Maplink3</v>
      </c>
    </row>
    <row r="1420" spans="1:51" x14ac:dyDescent="0.2">
      <c r="A1420" s="102">
        <v>33494</v>
      </c>
      <c r="B1420" s="103" t="s">
        <v>35</v>
      </c>
      <c r="C1420" s="103" t="s">
        <v>102</v>
      </c>
      <c r="D1420" s="103" t="s">
        <v>2815</v>
      </c>
      <c r="E1420" s="103" t="s">
        <v>2816</v>
      </c>
      <c r="F1420" s="103">
        <v>35.663606999999999</v>
      </c>
      <c r="G1420" s="103">
        <v>43.2381598228</v>
      </c>
      <c r="H1420" s="102">
        <v>75</v>
      </c>
      <c r="I1420" s="102">
        <v>450</v>
      </c>
      <c r="J1420" s="103"/>
      <c r="K1420" s="103"/>
      <c r="L1420" s="103"/>
      <c r="M1420" s="103">
        <v>75</v>
      </c>
      <c r="N1420" s="103"/>
      <c r="O1420" s="103"/>
      <c r="P1420" s="103"/>
      <c r="Q1420" s="103"/>
      <c r="R1420" s="103"/>
      <c r="S1420" s="103"/>
      <c r="T1420" s="103"/>
      <c r="U1420" s="103"/>
      <c r="V1420" s="103"/>
      <c r="W1420" s="103"/>
      <c r="X1420" s="103"/>
      <c r="Y1420" s="103"/>
      <c r="Z1420" s="103"/>
      <c r="AA1420" s="103"/>
      <c r="AB1420" s="103"/>
      <c r="AC1420" s="103"/>
      <c r="AD1420" s="103"/>
      <c r="AE1420" s="103"/>
      <c r="AF1420" s="103"/>
      <c r="AG1420" s="103"/>
      <c r="AH1420" s="103"/>
      <c r="AI1420" s="103">
        <v>75</v>
      </c>
      <c r="AJ1420" s="103"/>
      <c r="AK1420" s="103"/>
      <c r="AL1420" s="103"/>
      <c r="AM1420" s="103"/>
      <c r="AN1420" s="103"/>
      <c r="AO1420" s="103"/>
      <c r="AP1420" s="103"/>
      <c r="AQ1420" s="103"/>
      <c r="AR1420" s="103"/>
      <c r="AS1420" s="103">
        <v>75</v>
      </c>
      <c r="AT1420" s="103"/>
      <c r="AU1420" s="103"/>
      <c r="AV1420" s="103"/>
      <c r="AW1420" s="104" t="str">
        <f>HYPERLINK("http://www.openstreetmap.org/?mlat=35.6636&amp;mlon=43.2382&amp;zoom=12#map=12/35.6636/43.2382","Maplink1")</f>
        <v>Maplink1</v>
      </c>
      <c r="AX1420" s="104" t="str">
        <f>HYPERLINK("https://www.google.iq/maps/search/+35.6636,43.2382/@35.6636,43.2382,14z?hl=en","Maplink2")</f>
        <v>Maplink2</v>
      </c>
      <c r="AY1420" s="104" t="str">
        <f>HYPERLINK("http://www.bing.com/maps/?lvl=14&amp;sty=h&amp;cp=35.6636~43.2382&amp;sp=point.35.6636_43.2382","Maplink3")</f>
        <v>Maplink3</v>
      </c>
    </row>
    <row r="1421" spans="1:51" x14ac:dyDescent="0.2">
      <c r="A1421" s="102">
        <v>33490</v>
      </c>
      <c r="B1421" s="103" t="s">
        <v>35</v>
      </c>
      <c r="C1421" s="103" t="s">
        <v>102</v>
      </c>
      <c r="D1421" s="103" t="s">
        <v>2817</v>
      </c>
      <c r="E1421" s="103" t="s">
        <v>2818</v>
      </c>
      <c r="F1421" s="103">
        <v>35.805982</v>
      </c>
      <c r="G1421" s="103">
        <v>43.228818448299997</v>
      </c>
      <c r="H1421" s="102">
        <v>40</v>
      </c>
      <c r="I1421" s="102">
        <v>240</v>
      </c>
      <c r="J1421" s="103"/>
      <c r="K1421" s="103"/>
      <c r="L1421" s="103"/>
      <c r="M1421" s="103">
        <v>40</v>
      </c>
      <c r="N1421" s="103"/>
      <c r="O1421" s="103"/>
      <c r="P1421" s="103"/>
      <c r="Q1421" s="103"/>
      <c r="R1421" s="103"/>
      <c r="S1421" s="103"/>
      <c r="T1421" s="103"/>
      <c r="U1421" s="103"/>
      <c r="V1421" s="103"/>
      <c r="W1421" s="103"/>
      <c r="X1421" s="103"/>
      <c r="Y1421" s="103"/>
      <c r="Z1421" s="103"/>
      <c r="AA1421" s="103"/>
      <c r="AB1421" s="103"/>
      <c r="AC1421" s="103"/>
      <c r="AD1421" s="103"/>
      <c r="AE1421" s="103"/>
      <c r="AF1421" s="103"/>
      <c r="AG1421" s="103">
        <v>40</v>
      </c>
      <c r="AH1421" s="103"/>
      <c r="AI1421" s="103"/>
      <c r="AJ1421" s="103"/>
      <c r="AK1421" s="103"/>
      <c r="AL1421" s="103"/>
      <c r="AM1421" s="103"/>
      <c r="AN1421" s="103"/>
      <c r="AO1421" s="103"/>
      <c r="AP1421" s="103"/>
      <c r="AQ1421" s="103"/>
      <c r="AR1421" s="103"/>
      <c r="AS1421" s="103">
        <v>40</v>
      </c>
      <c r="AT1421" s="103"/>
      <c r="AU1421" s="103"/>
      <c r="AV1421" s="103"/>
      <c r="AW1421" s="104" t="str">
        <f>HYPERLINK("http://www.openstreetmap.org/?mlat=35.806&amp;mlon=43.2288&amp;zoom=12#map=12/35.806/43.2288","Maplink1")</f>
        <v>Maplink1</v>
      </c>
      <c r="AX1421" s="104" t="str">
        <f>HYPERLINK("https://www.google.iq/maps/search/+35.806,43.2288/@35.806,43.2288,14z?hl=en","Maplink2")</f>
        <v>Maplink2</v>
      </c>
      <c r="AY1421" s="104" t="str">
        <f>HYPERLINK("http://www.bing.com/maps/?lvl=14&amp;sty=h&amp;cp=35.806~43.2288&amp;sp=point.35.806_43.2288","Maplink3")</f>
        <v>Maplink3</v>
      </c>
    </row>
    <row r="1422" spans="1:51" x14ac:dyDescent="0.2">
      <c r="A1422" s="102">
        <v>17943</v>
      </c>
      <c r="B1422" s="103" t="s">
        <v>35</v>
      </c>
      <c r="C1422" s="103" t="s">
        <v>102</v>
      </c>
      <c r="D1422" s="103" t="s">
        <v>2819</v>
      </c>
      <c r="E1422" s="103" t="s">
        <v>2820</v>
      </c>
      <c r="F1422" s="103">
        <v>35.987668999999997</v>
      </c>
      <c r="G1422" s="103">
        <v>43.270482522899997</v>
      </c>
      <c r="H1422" s="102">
        <v>702</v>
      </c>
      <c r="I1422" s="102">
        <v>4212</v>
      </c>
      <c r="J1422" s="103"/>
      <c r="K1422" s="103"/>
      <c r="L1422" s="103"/>
      <c r="M1422" s="103">
        <v>702</v>
      </c>
      <c r="N1422" s="103"/>
      <c r="O1422" s="103"/>
      <c r="P1422" s="103"/>
      <c r="Q1422" s="103"/>
      <c r="R1422" s="103"/>
      <c r="S1422" s="103"/>
      <c r="T1422" s="103"/>
      <c r="U1422" s="103"/>
      <c r="V1422" s="103"/>
      <c r="W1422" s="103"/>
      <c r="X1422" s="103"/>
      <c r="Y1422" s="103"/>
      <c r="Z1422" s="103"/>
      <c r="AA1422" s="103"/>
      <c r="AB1422" s="103"/>
      <c r="AC1422" s="103"/>
      <c r="AD1422" s="103"/>
      <c r="AE1422" s="103"/>
      <c r="AF1422" s="103"/>
      <c r="AG1422" s="103">
        <v>702</v>
      </c>
      <c r="AH1422" s="103"/>
      <c r="AI1422" s="103"/>
      <c r="AJ1422" s="103"/>
      <c r="AK1422" s="103"/>
      <c r="AL1422" s="103"/>
      <c r="AM1422" s="103"/>
      <c r="AN1422" s="103"/>
      <c r="AO1422" s="103"/>
      <c r="AP1422" s="103"/>
      <c r="AQ1422" s="103"/>
      <c r="AR1422" s="103"/>
      <c r="AS1422" s="103">
        <v>702</v>
      </c>
      <c r="AT1422" s="103"/>
      <c r="AU1422" s="103"/>
      <c r="AV1422" s="103"/>
      <c r="AW1422" s="104" t="str">
        <f>HYPERLINK("http://www.openstreetmap.org/?mlat=35.9877&amp;mlon=43.2705&amp;zoom=12#map=12/35.9877/43.2705","Maplink1")</f>
        <v>Maplink1</v>
      </c>
      <c r="AX1422" s="104" t="str">
        <f>HYPERLINK("https://www.google.iq/maps/search/+35.9877,43.2705/@35.9877,43.2705,14z?hl=en","Maplink2")</f>
        <v>Maplink2</v>
      </c>
      <c r="AY1422" s="104" t="str">
        <f>HYPERLINK("http://www.bing.com/maps/?lvl=14&amp;sty=h&amp;cp=35.9877~43.2705&amp;sp=point.35.9877_43.2705","Maplink3")</f>
        <v>Maplink3</v>
      </c>
    </row>
    <row r="1423" spans="1:51" x14ac:dyDescent="0.2">
      <c r="A1423" s="102">
        <v>33701</v>
      </c>
      <c r="B1423" s="103" t="s">
        <v>35</v>
      </c>
      <c r="C1423" s="103" t="s">
        <v>102</v>
      </c>
      <c r="D1423" s="103" t="s">
        <v>2821</v>
      </c>
      <c r="E1423" s="103" t="s">
        <v>2822</v>
      </c>
      <c r="F1423" s="103">
        <v>36.089590999999999</v>
      </c>
      <c r="G1423" s="103">
        <v>43.283595542</v>
      </c>
      <c r="H1423" s="102">
        <v>350</v>
      </c>
      <c r="I1423" s="102">
        <v>2100</v>
      </c>
      <c r="J1423" s="103"/>
      <c r="K1423" s="103"/>
      <c r="L1423" s="103"/>
      <c r="M1423" s="103">
        <v>350</v>
      </c>
      <c r="N1423" s="103"/>
      <c r="O1423" s="103"/>
      <c r="P1423" s="103"/>
      <c r="Q1423" s="103"/>
      <c r="R1423" s="103"/>
      <c r="S1423" s="103"/>
      <c r="T1423" s="103"/>
      <c r="U1423" s="103"/>
      <c r="V1423" s="103"/>
      <c r="W1423" s="103"/>
      <c r="X1423" s="103"/>
      <c r="Y1423" s="103"/>
      <c r="Z1423" s="103"/>
      <c r="AA1423" s="103"/>
      <c r="AB1423" s="103"/>
      <c r="AC1423" s="103"/>
      <c r="AD1423" s="103"/>
      <c r="AE1423" s="103"/>
      <c r="AF1423" s="103"/>
      <c r="AG1423" s="103">
        <v>350</v>
      </c>
      <c r="AH1423" s="103"/>
      <c r="AI1423" s="103"/>
      <c r="AJ1423" s="103"/>
      <c r="AK1423" s="103"/>
      <c r="AL1423" s="103"/>
      <c r="AM1423" s="103"/>
      <c r="AN1423" s="103"/>
      <c r="AO1423" s="103"/>
      <c r="AP1423" s="103"/>
      <c r="AQ1423" s="103"/>
      <c r="AR1423" s="103"/>
      <c r="AS1423" s="103">
        <v>350</v>
      </c>
      <c r="AT1423" s="103"/>
      <c r="AU1423" s="103"/>
      <c r="AV1423" s="103"/>
      <c r="AW1423" s="104" t="str">
        <f>HYPERLINK("http://www.openstreetmap.org/?mlat=36.0896&amp;mlon=43.2836&amp;zoom=12#map=12/36.0896/43.2836","Maplink1")</f>
        <v>Maplink1</v>
      </c>
      <c r="AX1423" s="104" t="str">
        <f>HYPERLINK("https://www.google.iq/maps/search/+36.0896,43.2836/@36.0896,43.2836,14z?hl=en","Maplink2")</f>
        <v>Maplink2</v>
      </c>
      <c r="AY1423" s="104" t="str">
        <f>HYPERLINK("http://www.bing.com/maps/?lvl=14&amp;sty=h&amp;cp=36.0896~43.2836&amp;sp=point.36.0896_43.2836","Maplink3")</f>
        <v>Maplink3</v>
      </c>
    </row>
    <row r="1424" spans="1:51" x14ac:dyDescent="0.2">
      <c r="A1424" s="102">
        <v>18377</v>
      </c>
      <c r="B1424" s="103" t="s">
        <v>35</v>
      </c>
      <c r="C1424" s="103" t="s">
        <v>102</v>
      </c>
      <c r="D1424" s="103" t="s">
        <v>2411</v>
      </c>
      <c r="E1424" s="103" t="s">
        <v>2004</v>
      </c>
      <c r="F1424" s="103">
        <v>36.403236683000003</v>
      </c>
      <c r="G1424" s="103">
        <v>43.093517102600003</v>
      </c>
      <c r="H1424" s="102">
        <v>1008</v>
      </c>
      <c r="I1424" s="102">
        <v>6048</v>
      </c>
      <c r="J1424" s="103"/>
      <c r="K1424" s="103"/>
      <c r="L1424" s="103"/>
      <c r="M1424" s="103">
        <v>1008</v>
      </c>
      <c r="N1424" s="103"/>
      <c r="O1424" s="103"/>
      <c r="P1424" s="103"/>
      <c r="Q1424" s="103"/>
      <c r="R1424" s="103"/>
      <c r="S1424" s="103"/>
      <c r="T1424" s="103"/>
      <c r="U1424" s="103"/>
      <c r="V1424" s="103"/>
      <c r="W1424" s="103">
        <v>98</v>
      </c>
      <c r="X1424" s="103"/>
      <c r="Y1424" s="103">
        <v>75</v>
      </c>
      <c r="Z1424" s="103"/>
      <c r="AA1424" s="103">
        <v>78</v>
      </c>
      <c r="AB1424" s="103">
        <v>122</v>
      </c>
      <c r="AC1424" s="103">
        <v>22</v>
      </c>
      <c r="AD1424" s="103"/>
      <c r="AE1424" s="103"/>
      <c r="AF1424" s="103"/>
      <c r="AG1424" s="103">
        <v>613</v>
      </c>
      <c r="AH1424" s="103"/>
      <c r="AI1424" s="103"/>
      <c r="AJ1424" s="103"/>
      <c r="AK1424" s="103"/>
      <c r="AL1424" s="103"/>
      <c r="AM1424" s="103"/>
      <c r="AN1424" s="103">
        <v>395</v>
      </c>
      <c r="AO1424" s="103"/>
      <c r="AP1424" s="103"/>
      <c r="AQ1424" s="103"/>
      <c r="AR1424" s="103"/>
      <c r="AS1424" s="103">
        <v>613</v>
      </c>
      <c r="AT1424" s="103"/>
      <c r="AU1424" s="103"/>
      <c r="AV1424" s="103"/>
      <c r="AW1424" s="104" t="str">
        <f>HYPERLINK("http://www.openstreetmap.org/?mlat=36.4032&amp;mlon=43.0935&amp;zoom=12#map=12/36.4032/43.0935","Maplink1")</f>
        <v>Maplink1</v>
      </c>
      <c r="AX1424" s="104" t="str">
        <f>HYPERLINK("https://www.google.iq/maps/search/+36.4032,43.0935/@36.4032,43.0935,14z?hl=en","Maplink2")</f>
        <v>Maplink2</v>
      </c>
      <c r="AY1424" s="104" t="str">
        <f>HYPERLINK("http://www.bing.com/maps/?lvl=14&amp;sty=h&amp;cp=36.4032~43.0935&amp;sp=point.36.4032_43.0935","Maplink3")</f>
        <v>Maplink3</v>
      </c>
    </row>
    <row r="1425" spans="1:51" x14ac:dyDescent="0.2">
      <c r="A1425" s="102">
        <v>18244</v>
      </c>
      <c r="B1425" s="103" t="s">
        <v>35</v>
      </c>
      <c r="C1425" s="103" t="s">
        <v>102</v>
      </c>
      <c r="D1425" s="103" t="s">
        <v>2412</v>
      </c>
      <c r="E1425" s="103" t="s">
        <v>2413</v>
      </c>
      <c r="F1425" s="103">
        <v>36.3331287058</v>
      </c>
      <c r="G1425" s="103">
        <v>43.1348878879</v>
      </c>
      <c r="H1425" s="102">
        <v>1000</v>
      </c>
      <c r="I1425" s="102">
        <v>6000</v>
      </c>
      <c r="J1425" s="103"/>
      <c r="K1425" s="103"/>
      <c r="L1425" s="103"/>
      <c r="M1425" s="103">
        <v>1000</v>
      </c>
      <c r="N1425" s="103"/>
      <c r="O1425" s="103"/>
      <c r="P1425" s="103"/>
      <c r="Q1425" s="103"/>
      <c r="R1425" s="103"/>
      <c r="S1425" s="103"/>
      <c r="T1425" s="103"/>
      <c r="U1425" s="103"/>
      <c r="V1425" s="103"/>
      <c r="W1425" s="103"/>
      <c r="X1425" s="103"/>
      <c r="Y1425" s="103"/>
      <c r="Z1425" s="103"/>
      <c r="AA1425" s="103"/>
      <c r="AB1425" s="103"/>
      <c r="AC1425" s="103"/>
      <c r="AD1425" s="103"/>
      <c r="AE1425" s="103"/>
      <c r="AF1425" s="103"/>
      <c r="AG1425" s="103">
        <v>1000</v>
      </c>
      <c r="AH1425" s="103"/>
      <c r="AI1425" s="103"/>
      <c r="AJ1425" s="103"/>
      <c r="AK1425" s="103"/>
      <c r="AL1425" s="103"/>
      <c r="AM1425" s="103"/>
      <c r="AN1425" s="103"/>
      <c r="AO1425" s="103"/>
      <c r="AP1425" s="103"/>
      <c r="AQ1425" s="103"/>
      <c r="AR1425" s="103"/>
      <c r="AS1425" s="103">
        <v>1000</v>
      </c>
      <c r="AT1425" s="103"/>
      <c r="AU1425" s="103"/>
      <c r="AV1425" s="103"/>
      <c r="AW1425" s="104" t="str">
        <f>HYPERLINK("http://www.openstreetmap.org/?mlat=36.3331&amp;mlon=43.1349&amp;zoom=12#map=12/36.3331/43.1349","Maplink1")</f>
        <v>Maplink1</v>
      </c>
      <c r="AX1425" s="104" t="str">
        <f>HYPERLINK("https://www.google.iq/maps/search/+36.3331,43.1349/@36.3331,43.1349,14z?hl=en","Maplink2")</f>
        <v>Maplink2</v>
      </c>
      <c r="AY1425" s="104" t="str">
        <f>HYPERLINK("http://www.bing.com/maps/?lvl=14&amp;sty=h&amp;cp=36.3331~43.1349&amp;sp=point.36.3331_43.1349","Maplink3")</f>
        <v>Maplink3</v>
      </c>
    </row>
    <row r="1426" spans="1:51" x14ac:dyDescent="0.2">
      <c r="A1426" s="102">
        <v>17471</v>
      </c>
      <c r="B1426" s="103" t="s">
        <v>35</v>
      </c>
      <c r="C1426" s="103" t="s">
        <v>102</v>
      </c>
      <c r="D1426" s="103" t="s">
        <v>2414</v>
      </c>
      <c r="E1426" s="103" t="s">
        <v>2415</v>
      </c>
      <c r="F1426" s="103">
        <v>36.332734849200001</v>
      </c>
      <c r="G1426" s="103">
        <v>43.1068692128</v>
      </c>
      <c r="H1426" s="102">
        <v>4201</v>
      </c>
      <c r="I1426" s="102">
        <v>25206</v>
      </c>
      <c r="J1426" s="103"/>
      <c r="K1426" s="103"/>
      <c r="L1426" s="103"/>
      <c r="M1426" s="103">
        <v>4201</v>
      </c>
      <c r="N1426" s="103"/>
      <c r="O1426" s="103"/>
      <c r="P1426" s="103"/>
      <c r="Q1426" s="103"/>
      <c r="R1426" s="103"/>
      <c r="S1426" s="103"/>
      <c r="T1426" s="103"/>
      <c r="U1426" s="103"/>
      <c r="V1426" s="103"/>
      <c r="W1426" s="103"/>
      <c r="X1426" s="103"/>
      <c r="Y1426" s="103">
        <v>10</v>
      </c>
      <c r="Z1426" s="103"/>
      <c r="AA1426" s="103">
        <v>2</v>
      </c>
      <c r="AB1426" s="103"/>
      <c r="AC1426" s="103"/>
      <c r="AD1426" s="103"/>
      <c r="AE1426" s="103"/>
      <c r="AF1426" s="103"/>
      <c r="AG1426" s="103">
        <v>4189</v>
      </c>
      <c r="AH1426" s="103"/>
      <c r="AI1426" s="103"/>
      <c r="AJ1426" s="103"/>
      <c r="AK1426" s="103"/>
      <c r="AL1426" s="103"/>
      <c r="AM1426" s="103"/>
      <c r="AN1426" s="103">
        <v>12</v>
      </c>
      <c r="AO1426" s="103"/>
      <c r="AP1426" s="103"/>
      <c r="AQ1426" s="103"/>
      <c r="AR1426" s="103"/>
      <c r="AS1426" s="103">
        <v>4189</v>
      </c>
      <c r="AT1426" s="103"/>
      <c r="AU1426" s="103"/>
      <c r="AV1426" s="103"/>
      <c r="AW1426" s="104" t="str">
        <f>HYPERLINK("http://www.openstreetmap.org/?mlat=36.3327&amp;mlon=43.1069&amp;zoom=12#map=12/36.3327/43.1069","Maplink1")</f>
        <v>Maplink1</v>
      </c>
      <c r="AX1426" s="104" t="str">
        <f>HYPERLINK("https://www.google.iq/maps/search/+36.3327,43.1069/@36.3327,43.1069,14z?hl=en","Maplink2")</f>
        <v>Maplink2</v>
      </c>
      <c r="AY1426" s="104" t="str">
        <f>HYPERLINK("http://www.bing.com/maps/?lvl=14&amp;sty=h&amp;cp=36.3327~43.1069&amp;sp=point.36.3327_43.1069","Maplink3")</f>
        <v>Maplink3</v>
      </c>
    </row>
    <row r="1427" spans="1:51" x14ac:dyDescent="0.2">
      <c r="A1427" s="102">
        <v>21258</v>
      </c>
      <c r="B1427" s="103" t="s">
        <v>35</v>
      </c>
      <c r="C1427" s="103" t="s">
        <v>102</v>
      </c>
      <c r="D1427" s="103" t="s">
        <v>2416</v>
      </c>
      <c r="E1427" s="103" t="s">
        <v>2417</v>
      </c>
      <c r="F1427" s="103">
        <v>36.315616375499999</v>
      </c>
      <c r="G1427" s="103">
        <v>43.089962638999999</v>
      </c>
      <c r="H1427" s="102">
        <v>2764</v>
      </c>
      <c r="I1427" s="102">
        <v>16584</v>
      </c>
      <c r="J1427" s="103"/>
      <c r="K1427" s="103"/>
      <c r="L1427" s="103"/>
      <c r="M1427" s="103">
        <v>2764</v>
      </c>
      <c r="N1427" s="103"/>
      <c r="O1427" s="103"/>
      <c r="P1427" s="103"/>
      <c r="Q1427" s="103"/>
      <c r="R1427" s="103"/>
      <c r="S1427" s="103"/>
      <c r="T1427" s="103"/>
      <c r="U1427" s="103"/>
      <c r="V1427" s="103"/>
      <c r="W1427" s="103"/>
      <c r="X1427" s="103"/>
      <c r="Y1427" s="103"/>
      <c r="Z1427" s="103"/>
      <c r="AA1427" s="103"/>
      <c r="AB1427" s="103"/>
      <c r="AC1427" s="103"/>
      <c r="AD1427" s="103"/>
      <c r="AE1427" s="103"/>
      <c r="AF1427" s="103"/>
      <c r="AG1427" s="103">
        <v>2764</v>
      </c>
      <c r="AH1427" s="103"/>
      <c r="AI1427" s="103"/>
      <c r="AJ1427" s="103"/>
      <c r="AK1427" s="103"/>
      <c r="AL1427" s="103"/>
      <c r="AM1427" s="103"/>
      <c r="AN1427" s="103"/>
      <c r="AO1427" s="103"/>
      <c r="AP1427" s="103"/>
      <c r="AQ1427" s="103"/>
      <c r="AR1427" s="103"/>
      <c r="AS1427" s="103">
        <v>2764</v>
      </c>
      <c r="AT1427" s="103"/>
      <c r="AU1427" s="103"/>
      <c r="AV1427" s="103"/>
      <c r="AW1427" s="104" t="str">
        <f>HYPERLINK("http://www.openstreetmap.org/?mlat=36.3156&amp;mlon=43.09&amp;zoom=12#map=12/36.3156/43.09","Maplink1")</f>
        <v>Maplink1</v>
      </c>
      <c r="AX1427" s="104" t="str">
        <f>HYPERLINK("https://www.google.iq/maps/search/+36.3156,43.09/@36.3156,43.09,14z?hl=en","Maplink2")</f>
        <v>Maplink2</v>
      </c>
      <c r="AY1427" s="104" t="str">
        <f>HYPERLINK("http://www.bing.com/maps/?lvl=14&amp;sty=h&amp;cp=36.3156~43.09&amp;sp=point.36.3156_43.09","Maplink3")</f>
        <v>Maplink3</v>
      </c>
    </row>
    <row r="1428" spans="1:51" x14ac:dyDescent="0.2">
      <c r="A1428" s="102">
        <v>18328</v>
      </c>
      <c r="B1428" s="103" t="s">
        <v>35</v>
      </c>
      <c r="C1428" s="103" t="s">
        <v>102</v>
      </c>
      <c r="D1428" s="103" t="s">
        <v>2361</v>
      </c>
      <c r="E1428" s="103" t="s">
        <v>2362</v>
      </c>
      <c r="F1428" s="103">
        <v>36.357374331499997</v>
      </c>
      <c r="G1428" s="103">
        <v>43.203410561799998</v>
      </c>
      <c r="H1428" s="102">
        <v>185</v>
      </c>
      <c r="I1428" s="102">
        <v>1110</v>
      </c>
      <c r="J1428" s="103"/>
      <c r="K1428" s="103"/>
      <c r="L1428" s="103"/>
      <c r="M1428" s="103">
        <v>185</v>
      </c>
      <c r="N1428" s="103"/>
      <c r="O1428" s="103"/>
      <c r="P1428" s="103"/>
      <c r="Q1428" s="103"/>
      <c r="R1428" s="103"/>
      <c r="S1428" s="103"/>
      <c r="T1428" s="103"/>
      <c r="U1428" s="103"/>
      <c r="V1428" s="103"/>
      <c r="W1428" s="103">
        <v>26</v>
      </c>
      <c r="X1428" s="103"/>
      <c r="Y1428" s="103">
        <v>17</v>
      </c>
      <c r="Z1428" s="103"/>
      <c r="AA1428" s="103">
        <v>16</v>
      </c>
      <c r="AB1428" s="103"/>
      <c r="AC1428" s="103"/>
      <c r="AD1428" s="103"/>
      <c r="AE1428" s="103"/>
      <c r="AF1428" s="103"/>
      <c r="AG1428" s="103">
        <v>126</v>
      </c>
      <c r="AH1428" s="103"/>
      <c r="AI1428" s="103"/>
      <c r="AJ1428" s="103"/>
      <c r="AK1428" s="103"/>
      <c r="AL1428" s="103"/>
      <c r="AM1428" s="103"/>
      <c r="AN1428" s="103">
        <v>59</v>
      </c>
      <c r="AO1428" s="103"/>
      <c r="AP1428" s="103"/>
      <c r="AQ1428" s="103"/>
      <c r="AR1428" s="103"/>
      <c r="AS1428" s="103">
        <v>126</v>
      </c>
      <c r="AT1428" s="103"/>
      <c r="AU1428" s="103"/>
      <c r="AV1428" s="103"/>
      <c r="AW1428" s="104" t="str">
        <f>HYPERLINK("http://www.openstreetmap.org/?mlat=36.3574&amp;mlon=43.2034&amp;zoom=12#map=12/36.3574/43.2034","Maplink1")</f>
        <v>Maplink1</v>
      </c>
      <c r="AX1428" s="104" t="str">
        <f>HYPERLINK("https://www.google.iq/maps/search/+36.3574,43.2034/@36.3574,43.2034,14z?hl=en","Maplink2")</f>
        <v>Maplink2</v>
      </c>
      <c r="AY1428" s="104" t="str">
        <f>HYPERLINK("http://www.bing.com/maps/?lvl=14&amp;sty=h&amp;cp=36.3574~43.2034&amp;sp=point.36.3574_43.2034","Maplink3")</f>
        <v>Maplink3</v>
      </c>
    </row>
    <row r="1429" spans="1:51" x14ac:dyDescent="0.2">
      <c r="A1429" s="102">
        <v>20993</v>
      </c>
      <c r="B1429" s="103" t="s">
        <v>35</v>
      </c>
      <c r="C1429" s="103" t="s">
        <v>102</v>
      </c>
      <c r="D1429" s="103" t="s">
        <v>2363</v>
      </c>
      <c r="E1429" s="103" t="s">
        <v>465</v>
      </c>
      <c r="F1429" s="103">
        <v>36.3384685969</v>
      </c>
      <c r="G1429" s="103">
        <v>43.121896388499998</v>
      </c>
      <c r="H1429" s="102">
        <v>422</v>
      </c>
      <c r="I1429" s="102">
        <v>2532</v>
      </c>
      <c r="J1429" s="103"/>
      <c r="K1429" s="103"/>
      <c r="L1429" s="103"/>
      <c r="M1429" s="103">
        <v>226</v>
      </c>
      <c r="N1429" s="103">
        <v>196</v>
      </c>
      <c r="O1429" s="103"/>
      <c r="P1429" s="103"/>
      <c r="Q1429" s="103"/>
      <c r="R1429" s="103"/>
      <c r="S1429" s="103"/>
      <c r="T1429" s="103"/>
      <c r="U1429" s="103"/>
      <c r="V1429" s="103"/>
      <c r="W1429" s="103"/>
      <c r="X1429" s="103"/>
      <c r="Y1429" s="103">
        <v>4</v>
      </c>
      <c r="Z1429" s="103"/>
      <c r="AA1429" s="103"/>
      <c r="AB1429" s="103"/>
      <c r="AC1429" s="103"/>
      <c r="AD1429" s="103"/>
      <c r="AE1429" s="103"/>
      <c r="AF1429" s="103"/>
      <c r="AG1429" s="103">
        <v>418</v>
      </c>
      <c r="AH1429" s="103"/>
      <c r="AI1429" s="103"/>
      <c r="AJ1429" s="103"/>
      <c r="AK1429" s="103"/>
      <c r="AL1429" s="103"/>
      <c r="AM1429" s="103"/>
      <c r="AN1429" s="103"/>
      <c r="AO1429" s="103"/>
      <c r="AP1429" s="103"/>
      <c r="AQ1429" s="103"/>
      <c r="AR1429" s="103"/>
      <c r="AS1429" s="103">
        <v>422</v>
      </c>
      <c r="AT1429" s="103"/>
      <c r="AU1429" s="103"/>
      <c r="AV1429" s="103"/>
      <c r="AW1429" s="104" t="str">
        <f>HYPERLINK("http://www.openstreetmap.org/?mlat=36.3385&amp;mlon=43.1219&amp;zoom=12#map=12/36.3385/43.1219","Maplink1")</f>
        <v>Maplink1</v>
      </c>
      <c r="AX1429" s="104" t="str">
        <f>HYPERLINK("https://www.google.iq/maps/search/+36.3385,43.1219/@36.3385,43.1219,14z?hl=en","Maplink2")</f>
        <v>Maplink2</v>
      </c>
      <c r="AY1429" s="104" t="str">
        <f>HYPERLINK("http://www.bing.com/maps/?lvl=14&amp;sty=h&amp;cp=36.3385~43.1219&amp;sp=point.36.3385_43.1219","Maplink3")</f>
        <v>Maplink3</v>
      </c>
    </row>
    <row r="1430" spans="1:51" x14ac:dyDescent="0.2">
      <c r="A1430" s="102">
        <v>23590</v>
      </c>
      <c r="B1430" s="103" t="s">
        <v>35</v>
      </c>
      <c r="C1430" s="103" t="s">
        <v>102</v>
      </c>
      <c r="D1430" s="103" t="s">
        <v>2364</v>
      </c>
      <c r="E1430" s="103" t="s">
        <v>2365</v>
      </c>
      <c r="F1430" s="103">
        <v>36.326000059099997</v>
      </c>
      <c r="G1430" s="103">
        <v>43.138066720200001</v>
      </c>
      <c r="H1430" s="102">
        <v>651</v>
      </c>
      <c r="I1430" s="102">
        <v>3906</v>
      </c>
      <c r="J1430" s="103"/>
      <c r="K1430" s="103"/>
      <c r="L1430" s="103"/>
      <c r="M1430" s="103">
        <v>651</v>
      </c>
      <c r="N1430" s="103"/>
      <c r="O1430" s="103"/>
      <c r="P1430" s="103"/>
      <c r="Q1430" s="103"/>
      <c r="R1430" s="103"/>
      <c r="S1430" s="103"/>
      <c r="T1430" s="103"/>
      <c r="U1430" s="103"/>
      <c r="V1430" s="103"/>
      <c r="W1430" s="103"/>
      <c r="X1430" s="103"/>
      <c r="Y1430" s="103"/>
      <c r="Z1430" s="103"/>
      <c r="AA1430" s="103">
        <v>18</v>
      </c>
      <c r="AB1430" s="103"/>
      <c r="AC1430" s="103"/>
      <c r="AD1430" s="103"/>
      <c r="AE1430" s="103"/>
      <c r="AF1430" s="103"/>
      <c r="AG1430" s="103">
        <v>633</v>
      </c>
      <c r="AH1430" s="103"/>
      <c r="AI1430" s="103"/>
      <c r="AJ1430" s="103"/>
      <c r="AK1430" s="103"/>
      <c r="AL1430" s="103"/>
      <c r="AM1430" s="103"/>
      <c r="AN1430" s="103">
        <v>18</v>
      </c>
      <c r="AO1430" s="103"/>
      <c r="AP1430" s="103"/>
      <c r="AQ1430" s="103"/>
      <c r="AR1430" s="103"/>
      <c r="AS1430" s="103">
        <v>633</v>
      </c>
      <c r="AT1430" s="103"/>
      <c r="AU1430" s="103"/>
      <c r="AV1430" s="103"/>
      <c r="AW1430" s="104" t="str">
        <f>HYPERLINK("http://www.openstreetmap.org/?mlat=36.326&amp;mlon=43.1381&amp;zoom=12#map=12/36.326/43.1381","Maplink1")</f>
        <v>Maplink1</v>
      </c>
      <c r="AX1430" s="104" t="str">
        <f>HYPERLINK("https://www.google.iq/maps/search/+36.326,43.1381/@36.326,43.1381,14z?hl=en","Maplink2")</f>
        <v>Maplink2</v>
      </c>
      <c r="AY1430" s="104" t="str">
        <f>HYPERLINK("http://www.bing.com/maps/?lvl=14&amp;sty=h&amp;cp=36.326~43.1381&amp;sp=point.36.326_43.1381","Maplink3")</f>
        <v>Maplink3</v>
      </c>
    </row>
    <row r="1431" spans="1:51" x14ac:dyDescent="0.2">
      <c r="A1431" s="102">
        <v>22652</v>
      </c>
      <c r="B1431" s="103" t="s">
        <v>35</v>
      </c>
      <c r="C1431" s="103" t="s">
        <v>102</v>
      </c>
      <c r="D1431" s="103" t="s">
        <v>2366</v>
      </c>
      <c r="E1431" s="103" t="s">
        <v>2367</v>
      </c>
      <c r="F1431" s="103">
        <v>36.466105375200002</v>
      </c>
      <c r="G1431" s="103">
        <v>43.221955230100001</v>
      </c>
      <c r="H1431" s="102">
        <v>900</v>
      </c>
      <c r="I1431" s="102">
        <v>5400</v>
      </c>
      <c r="J1431" s="103"/>
      <c r="K1431" s="103"/>
      <c r="L1431" s="103"/>
      <c r="M1431" s="103">
        <v>900</v>
      </c>
      <c r="N1431" s="103"/>
      <c r="O1431" s="103"/>
      <c r="P1431" s="103"/>
      <c r="Q1431" s="103"/>
      <c r="R1431" s="103"/>
      <c r="S1431" s="103"/>
      <c r="T1431" s="103"/>
      <c r="U1431" s="103"/>
      <c r="V1431" s="103">
        <v>32</v>
      </c>
      <c r="W1431" s="103"/>
      <c r="X1431" s="103"/>
      <c r="Y1431" s="103">
        <v>79</v>
      </c>
      <c r="Z1431" s="103"/>
      <c r="AA1431" s="103">
        <v>42</v>
      </c>
      <c r="AB1431" s="103"/>
      <c r="AC1431" s="103"/>
      <c r="AD1431" s="103"/>
      <c r="AE1431" s="103">
        <v>6</v>
      </c>
      <c r="AF1431" s="103">
        <v>44</v>
      </c>
      <c r="AG1431" s="103">
        <v>634</v>
      </c>
      <c r="AH1431" s="103"/>
      <c r="AI1431" s="103"/>
      <c r="AJ1431" s="103">
        <v>11</v>
      </c>
      <c r="AK1431" s="103">
        <v>2</v>
      </c>
      <c r="AL1431" s="103">
        <v>50</v>
      </c>
      <c r="AM1431" s="103"/>
      <c r="AN1431" s="103"/>
      <c r="AO1431" s="103">
        <v>860</v>
      </c>
      <c r="AP1431" s="103"/>
      <c r="AQ1431" s="103"/>
      <c r="AR1431" s="103"/>
      <c r="AS1431" s="103">
        <v>40</v>
      </c>
      <c r="AT1431" s="103"/>
      <c r="AU1431" s="103"/>
      <c r="AV1431" s="103"/>
      <c r="AW1431" s="104" t="str">
        <f>HYPERLINK("http://www.openstreetmap.org/?mlat=36.4661&amp;mlon=43.222&amp;zoom=12#map=12/36.4661/43.222","Maplink1")</f>
        <v>Maplink1</v>
      </c>
      <c r="AX1431" s="104" t="str">
        <f>HYPERLINK("https://www.google.iq/maps/search/+36.4661,43.222/@36.4661,43.222,14z?hl=en","Maplink2")</f>
        <v>Maplink2</v>
      </c>
      <c r="AY1431" s="104" t="str">
        <f>HYPERLINK("http://www.bing.com/maps/?lvl=14&amp;sty=h&amp;cp=36.4661~43.222&amp;sp=point.36.4661_43.222","Maplink3")</f>
        <v>Maplink3</v>
      </c>
    </row>
    <row r="1432" spans="1:51" x14ac:dyDescent="0.2">
      <c r="A1432" s="102">
        <v>27302</v>
      </c>
      <c r="B1432" s="103" t="s">
        <v>35</v>
      </c>
      <c r="C1432" s="103" t="s">
        <v>102</v>
      </c>
      <c r="D1432" s="103" t="s">
        <v>2368</v>
      </c>
      <c r="E1432" s="103" t="s">
        <v>2369</v>
      </c>
      <c r="F1432" s="103">
        <v>36.153502400900003</v>
      </c>
      <c r="G1432" s="103">
        <v>43.093328151500003</v>
      </c>
      <c r="H1432" s="102">
        <v>126</v>
      </c>
      <c r="I1432" s="102">
        <v>756</v>
      </c>
      <c r="J1432" s="103"/>
      <c r="K1432" s="103"/>
      <c r="L1432" s="103"/>
      <c r="M1432" s="103">
        <v>126</v>
      </c>
      <c r="N1432" s="103"/>
      <c r="O1432" s="103"/>
      <c r="P1432" s="103"/>
      <c r="Q1432" s="103"/>
      <c r="R1432" s="103"/>
      <c r="S1432" s="103"/>
      <c r="T1432" s="103"/>
      <c r="U1432" s="103"/>
      <c r="V1432" s="103"/>
      <c r="W1432" s="103"/>
      <c r="X1432" s="103"/>
      <c r="Y1432" s="103"/>
      <c r="Z1432" s="103"/>
      <c r="AA1432" s="103"/>
      <c r="AB1432" s="103"/>
      <c r="AC1432" s="103"/>
      <c r="AD1432" s="103"/>
      <c r="AE1432" s="103"/>
      <c r="AF1432" s="103"/>
      <c r="AG1432" s="103">
        <v>126</v>
      </c>
      <c r="AH1432" s="103"/>
      <c r="AI1432" s="103"/>
      <c r="AJ1432" s="103"/>
      <c r="AK1432" s="103"/>
      <c r="AL1432" s="103"/>
      <c r="AM1432" s="103"/>
      <c r="AN1432" s="103"/>
      <c r="AO1432" s="103"/>
      <c r="AP1432" s="103"/>
      <c r="AQ1432" s="103"/>
      <c r="AR1432" s="103"/>
      <c r="AS1432" s="103">
        <v>126</v>
      </c>
      <c r="AT1432" s="103"/>
      <c r="AU1432" s="103"/>
      <c r="AV1432" s="103"/>
      <c r="AW1432" s="104" t="str">
        <f>HYPERLINK("http://www.openstreetmap.org/?mlat=36.1535&amp;mlon=43.0933&amp;zoom=12#map=12/36.1535/43.0933","Maplink1")</f>
        <v>Maplink1</v>
      </c>
      <c r="AX1432" s="104" t="str">
        <f>HYPERLINK("https://www.google.iq/maps/search/+36.1535,43.0933/@36.1535,43.0933,14z?hl=en","Maplink2")</f>
        <v>Maplink2</v>
      </c>
      <c r="AY1432" s="104" t="str">
        <f>HYPERLINK("http://www.bing.com/maps/?lvl=14&amp;sty=h&amp;cp=36.1535~43.0933&amp;sp=point.36.1535_43.0933","Maplink3")</f>
        <v>Maplink3</v>
      </c>
    </row>
    <row r="1433" spans="1:51" x14ac:dyDescent="0.2">
      <c r="A1433" s="102">
        <v>18372</v>
      </c>
      <c r="B1433" s="103" t="s">
        <v>35</v>
      </c>
      <c r="C1433" s="103" t="s">
        <v>102</v>
      </c>
      <c r="D1433" s="103" t="s">
        <v>2585</v>
      </c>
      <c r="E1433" s="103" t="s">
        <v>2586</v>
      </c>
      <c r="F1433" s="103">
        <v>36.324980489600001</v>
      </c>
      <c r="G1433" s="103">
        <v>43.189810810700003</v>
      </c>
      <c r="H1433" s="102">
        <v>2323</v>
      </c>
      <c r="I1433" s="102">
        <v>13938</v>
      </c>
      <c r="J1433" s="103"/>
      <c r="K1433" s="103"/>
      <c r="L1433" s="103"/>
      <c r="M1433" s="103">
        <v>2323</v>
      </c>
      <c r="N1433" s="103"/>
      <c r="O1433" s="103"/>
      <c r="P1433" s="103"/>
      <c r="Q1433" s="103"/>
      <c r="R1433" s="103"/>
      <c r="S1433" s="103"/>
      <c r="T1433" s="103"/>
      <c r="U1433" s="103"/>
      <c r="V1433" s="103"/>
      <c r="W1433" s="103">
        <v>242</v>
      </c>
      <c r="X1433" s="103"/>
      <c r="Y1433" s="103">
        <v>232</v>
      </c>
      <c r="Z1433" s="103"/>
      <c r="AA1433" s="103">
        <v>180</v>
      </c>
      <c r="AB1433" s="103"/>
      <c r="AC1433" s="103">
        <v>1</v>
      </c>
      <c r="AD1433" s="103"/>
      <c r="AE1433" s="103"/>
      <c r="AF1433" s="103"/>
      <c r="AG1433" s="103">
        <v>1668</v>
      </c>
      <c r="AH1433" s="103"/>
      <c r="AI1433" s="103"/>
      <c r="AJ1433" s="103"/>
      <c r="AK1433" s="103"/>
      <c r="AL1433" s="103"/>
      <c r="AM1433" s="103"/>
      <c r="AN1433" s="103">
        <v>655</v>
      </c>
      <c r="AO1433" s="103"/>
      <c r="AP1433" s="103"/>
      <c r="AQ1433" s="103"/>
      <c r="AR1433" s="103"/>
      <c r="AS1433" s="103">
        <v>1668</v>
      </c>
      <c r="AT1433" s="103"/>
      <c r="AU1433" s="103"/>
      <c r="AV1433" s="103"/>
      <c r="AW1433" s="104" t="str">
        <f>HYPERLINK("http://www.openstreetmap.org/?mlat=36.325&amp;mlon=43.1898&amp;zoom=12#map=12/36.325/43.1898","Maplink1")</f>
        <v>Maplink1</v>
      </c>
      <c r="AX1433" s="104" t="str">
        <f>HYPERLINK("https://www.google.iq/maps/search/+36.325,43.1898/@36.325,43.1898,14z?hl=en","Maplink2")</f>
        <v>Maplink2</v>
      </c>
      <c r="AY1433" s="104" t="str">
        <f>HYPERLINK("http://www.bing.com/maps/?lvl=14&amp;sty=h&amp;cp=36.325~43.1898&amp;sp=point.36.325_43.1898","Maplink3")</f>
        <v>Maplink3</v>
      </c>
    </row>
    <row r="1434" spans="1:51" x14ac:dyDescent="0.2">
      <c r="A1434" s="102">
        <v>18383</v>
      </c>
      <c r="B1434" s="103" t="s">
        <v>35</v>
      </c>
      <c r="C1434" s="103" t="s">
        <v>102</v>
      </c>
      <c r="D1434" s="103" t="s">
        <v>2587</v>
      </c>
      <c r="E1434" s="103" t="s">
        <v>2588</v>
      </c>
      <c r="F1434" s="103">
        <v>36.355206011699998</v>
      </c>
      <c r="G1434" s="103">
        <v>43.213627191299999</v>
      </c>
      <c r="H1434" s="102">
        <v>2080</v>
      </c>
      <c r="I1434" s="102">
        <v>12480</v>
      </c>
      <c r="J1434" s="103"/>
      <c r="K1434" s="103"/>
      <c r="L1434" s="103"/>
      <c r="M1434" s="103">
        <v>2080</v>
      </c>
      <c r="N1434" s="103"/>
      <c r="O1434" s="103"/>
      <c r="P1434" s="103"/>
      <c r="Q1434" s="103"/>
      <c r="R1434" s="103"/>
      <c r="S1434" s="103"/>
      <c r="T1434" s="103"/>
      <c r="U1434" s="103"/>
      <c r="V1434" s="103"/>
      <c r="W1434" s="103">
        <v>183</v>
      </c>
      <c r="X1434" s="103"/>
      <c r="Y1434" s="103">
        <v>73</v>
      </c>
      <c r="Z1434" s="103"/>
      <c r="AA1434" s="103">
        <v>126</v>
      </c>
      <c r="AB1434" s="103"/>
      <c r="AC1434" s="103">
        <v>3</v>
      </c>
      <c r="AD1434" s="103"/>
      <c r="AE1434" s="103"/>
      <c r="AF1434" s="103"/>
      <c r="AG1434" s="103">
        <v>1695</v>
      </c>
      <c r="AH1434" s="103"/>
      <c r="AI1434" s="103"/>
      <c r="AJ1434" s="103"/>
      <c r="AK1434" s="103"/>
      <c r="AL1434" s="103"/>
      <c r="AM1434" s="103"/>
      <c r="AN1434" s="103">
        <v>385</v>
      </c>
      <c r="AO1434" s="103"/>
      <c r="AP1434" s="103"/>
      <c r="AQ1434" s="103"/>
      <c r="AR1434" s="103"/>
      <c r="AS1434" s="103">
        <v>1695</v>
      </c>
      <c r="AT1434" s="103"/>
      <c r="AU1434" s="103"/>
      <c r="AV1434" s="103"/>
      <c r="AW1434" s="104" t="str">
        <f>HYPERLINK("http://www.openstreetmap.org/?mlat=36.3552&amp;mlon=43.2136&amp;zoom=12#map=12/36.3552/43.2136","Maplink1")</f>
        <v>Maplink1</v>
      </c>
      <c r="AX1434" s="104" t="str">
        <f>HYPERLINK("https://www.google.iq/maps/search/+36.3552,43.2136/@36.3552,43.2136,14z?hl=en","Maplink2")</f>
        <v>Maplink2</v>
      </c>
      <c r="AY1434" s="104" t="str">
        <f>HYPERLINK("http://www.bing.com/maps/?lvl=14&amp;sty=h&amp;cp=36.3552~43.2136&amp;sp=point.36.3552_43.2136","Maplink3")</f>
        <v>Maplink3</v>
      </c>
    </row>
    <row r="1435" spans="1:51" x14ac:dyDescent="0.2">
      <c r="A1435" s="102">
        <v>33207</v>
      </c>
      <c r="B1435" s="103" t="s">
        <v>35</v>
      </c>
      <c r="C1435" s="103" t="s">
        <v>102</v>
      </c>
      <c r="D1435" s="103" t="s">
        <v>2589</v>
      </c>
      <c r="E1435" s="103" t="s">
        <v>2590</v>
      </c>
      <c r="F1435" s="103">
        <v>35.956933999999997</v>
      </c>
      <c r="G1435" s="103">
        <v>42.749169000000002</v>
      </c>
      <c r="H1435" s="102">
        <v>10</v>
      </c>
      <c r="I1435" s="102">
        <v>60</v>
      </c>
      <c r="J1435" s="103"/>
      <c r="K1435" s="103"/>
      <c r="L1435" s="103"/>
      <c r="M1435" s="103">
        <v>10</v>
      </c>
      <c r="N1435" s="103"/>
      <c r="O1435" s="103"/>
      <c r="P1435" s="103"/>
      <c r="Q1435" s="103"/>
      <c r="R1435" s="103"/>
      <c r="S1435" s="103"/>
      <c r="T1435" s="103"/>
      <c r="U1435" s="103"/>
      <c r="V1435" s="103"/>
      <c r="W1435" s="103"/>
      <c r="X1435" s="103"/>
      <c r="Y1435" s="103"/>
      <c r="Z1435" s="103"/>
      <c r="AA1435" s="103"/>
      <c r="AB1435" s="103"/>
      <c r="AC1435" s="103"/>
      <c r="AD1435" s="103"/>
      <c r="AE1435" s="103"/>
      <c r="AF1435" s="103"/>
      <c r="AG1435" s="103">
        <v>10</v>
      </c>
      <c r="AH1435" s="103"/>
      <c r="AI1435" s="103"/>
      <c r="AJ1435" s="103"/>
      <c r="AK1435" s="103"/>
      <c r="AL1435" s="103"/>
      <c r="AM1435" s="103"/>
      <c r="AN1435" s="103"/>
      <c r="AO1435" s="103"/>
      <c r="AP1435" s="103"/>
      <c r="AQ1435" s="103"/>
      <c r="AR1435" s="103"/>
      <c r="AS1435" s="103">
        <v>10</v>
      </c>
      <c r="AT1435" s="103"/>
      <c r="AU1435" s="103"/>
      <c r="AV1435" s="103"/>
      <c r="AW1435" s="104" t="str">
        <f>HYPERLINK("http://www.openstreetmap.org/?mlat=35.9569&amp;mlon=42.7492&amp;zoom=12#map=12/35.9569/42.7492","Maplink1")</f>
        <v>Maplink1</v>
      </c>
      <c r="AX1435" s="104" t="str">
        <f>HYPERLINK("https://www.google.iq/maps/search/+35.9569,42.7492/@35.9569,42.7492,14z?hl=en","Maplink2")</f>
        <v>Maplink2</v>
      </c>
      <c r="AY1435" s="104" t="str">
        <f>HYPERLINK("http://www.bing.com/maps/?lvl=14&amp;sty=h&amp;cp=35.9569~42.7492&amp;sp=point.35.9569_42.7492","Maplink3")</f>
        <v>Maplink3</v>
      </c>
    </row>
    <row r="1436" spans="1:51" x14ac:dyDescent="0.2">
      <c r="A1436" s="102">
        <v>17464</v>
      </c>
      <c r="B1436" s="103" t="s">
        <v>35</v>
      </c>
      <c r="C1436" s="103" t="s">
        <v>102</v>
      </c>
      <c r="D1436" s="103" t="s">
        <v>2591</v>
      </c>
      <c r="E1436" s="103" t="s">
        <v>2592</v>
      </c>
      <c r="F1436" s="103">
        <v>36.439965847099998</v>
      </c>
      <c r="G1436" s="103">
        <v>42.851736093500001</v>
      </c>
      <c r="H1436" s="102">
        <v>123</v>
      </c>
      <c r="I1436" s="102">
        <v>738</v>
      </c>
      <c r="J1436" s="103"/>
      <c r="K1436" s="103"/>
      <c r="L1436" s="103"/>
      <c r="M1436" s="103">
        <v>119</v>
      </c>
      <c r="N1436" s="103">
        <v>4</v>
      </c>
      <c r="O1436" s="103"/>
      <c r="P1436" s="103"/>
      <c r="Q1436" s="103"/>
      <c r="R1436" s="103"/>
      <c r="S1436" s="103"/>
      <c r="T1436" s="103"/>
      <c r="U1436" s="103"/>
      <c r="V1436" s="103"/>
      <c r="W1436" s="103"/>
      <c r="X1436" s="103"/>
      <c r="Y1436" s="103"/>
      <c r="Z1436" s="103"/>
      <c r="AA1436" s="103"/>
      <c r="AB1436" s="103"/>
      <c r="AC1436" s="103"/>
      <c r="AD1436" s="103"/>
      <c r="AE1436" s="103"/>
      <c r="AF1436" s="103"/>
      <c r="AG1436" s="103">
        <v>123</v>
      </c>
      <c r="AH1436" s="103"/>
      <c r="AI1436" s="103"/>
      <c r="AJ1436" s="103"/>
      <c r="AK1436" s="103"/>
      <c r="AL1436" s="103"/>
      <c r="AM1436" s="103"/>
      <c r="AN1436" s="103"/>
      <c r="AO1436" s="103"/>
      <c r="AP1436" s="103"/>
      <c r="AQ1436" s="103"/>
      <c r="AR1436" s="103">
        <v>123</v>
      </c>
      <c r="AS1436" s="103"/>
      <c r="AT1436" s="103"/>
      <c r="AU1436" s="103"/>
      <c r="AV1436" s="103"/>
      <c r="AW1436" s="104" t="str">
        <f>HYPERLINK("http://www.openstreetmap.org/?mlat=36.44&amp;mlon=42.8517&amp;zoom=12#map=12/36.44/42.8517","Maplink1")</f>
        <v>Maplink1</v>
      </c>
      <c r="AX1436" s="104" t="str">
        <f>HYPERLINK("https://www.google.iq/maps/search/+36.44,42.8517/@36.44,42.8517,14z?hl=en","Maplink2")</f>
        <v>Maplink2</v>
      </c>
      <c r="AY1436" s="104" t="str">
        <f>HYPERLINK("http://www.bing.com/maps/?lvl=14&amp;sty=h&amp;cp=36.44~42.8517&amp;sp=point.36.44_42.8517","Maplink3")</f>
        <v>Maplink3</v>
      </c>
    </row>
    <row r="1437" spans="1:51" x14ac:dyDescent="0.2">
      <c r="A1437" s="102">
        <v>33298</v>
      </c>
      <c r="B1437" s="103" t="s">
        <v>35</v>
      </c>
      <c r="C1437" s="103" t="s">
        <v>102</v>
      </c>
      <c r="D1437" s="103" t="s">
        <v>2593</v>
      </c>
      <c r="E1437" s="103" t="s">
        <v>2594</v>
      </c>
      <c r="F1437" s="103">
        <v>36.330000313600003</v>
      </c>
      <c r="G1437" s="103">
        <v>42.848129551900001</v>
      </c>
      <c r="H1437" s="102">
        <v>51</v>
      </c>
      <c r="I1437" s="102">
        <v>306</v>
      </c>
      <c r="J1437" s="103"/>
      <c r="K1437" s="103"/>
      <c r="L1437" s="103"/>
      <c r="M1437" s="103">
        <v>41</v>
      </c>
      <c r="N1437" s="103">
        <v>10</v>
      </c>
      <c r="O1437" s="103"/>
      <c r="P1437" s="103"/>
      <c r="Q1437" s="103"/>
      <c r="R1437" s="103"/>
      <c r="S1437" s="103"/>
      <c r="T1437" s="103"/>
      <c r="U1437" s="103"/>
      <c r="V1437" s="103"/>
      <c r="W1437" s="103"/>
      <c r="X1437" s="103"/>
      <c r="Y1437" s="103"/>
      <c r="Z1437" s="103"/>
      <c r="AA1437" s="103"/>
      <c r="AB1437" s="103"/>
      <c r="AC1437" s="103"/>
      <c r="AD1437" s="103"/>
      <c r="AE1437" s="103"/>
      <c r="AF1437" s="103"/>
      <c r="AG1437" s="103">
        <v>51</v>
      </c>
      <c r="AH1437" s="103"/>
      <c r="AI1437" s="103"/>
      <c r="AJ1437" s="103"/>
      <c r="AK1437" s="103"/>
      <c r="AL1437" s="103"/>
      <c r="AM1437" s="103"/>
      <c r="AN1437" s="103"/>
      <c r="AO1437" s="103"/>
      <c r="AP1437" s="103"/>
      <c r="AQ1437" s="103"/>
      <c r="AR1437" s="103">
        <v>51</v>
      </c>
      <c r="AS1437" s="103"/>
      <c r="AT1437" s="103"/>
      <c r="AU1437" s="103"/>
      <c r="AV1437" s="103"/>
      <c r="AW1437" s="104" t="str">
        <f>HYPERLINK("http://www.openstreetmap.org/?mlat=36.33&amp;mlon=42.8481&amp;zoom=12#map=12/36.33/42.8481","Maplink1")</f>
        <v>Maplink1</v>
      </c>
      <c r="AX1437" s="104" t="str">
        <f>HYPERLINK("https://www.google.iq/maps/search/+36.33,42.8481/@36.33,42.8481,14z?hl=en","Maplink2")</f>
        <v>Maplink2</v>
      </c>
      <c r="AY1437" s="104" t="str">
        <f>HYPERLINK("http://www.bing.com/maps/?lvl=14&amp;sty=h&amp;cp=36.33~42.8481&amp;sp=point.36.33_42.8481","Maplink3")</f>
        <v>Maplink3</v>
      </c>
    </row>
    <row r="1438" spans="1:51" x14ac:dyDescent="0.2">
      <c r="A1438" s="102">
        <v>18362</v>
      </c>
      <c r="B1438" s="103" t="s">
        <v>35</v>
      </c>
      <c r="C1438" s="103" t="s">
        <v>102</v>
      </c>
      <c r="D1438" s="103" t="s">
        <v>2384</v>
      </c>
      <c r="E1438" s="103" t="s">
        <v>520</v>
      </c>
      <c r="F1438" s="103">
        <v>36.3670746317</v>
      </c>
      <c r="G1438" s="103">
        <v>43.205621157800003</v>
      </c>
      <c r="H1438" s="102">
        <v>972</v>
      </c>
      <c r="I1438" s="102">
        <v>5832</v>
      </c>
      <c r="J1438" s="103"/>
      <c r="K1438" s="103"/>
      <c r="L1438" s="103"/>
      <c r="M1438" s="103">
        <v>972</v>
      </c>
      <c r="N1438" s="103"/>
      <c r="O1438" s="103"/>
      <c r="P1438" s="103"/>
      <c r="Q1438" s="103"/>
      <c r="R1438" s="103"/>
      <c r="S1438" s="103"/>
      <c r="T1438" s="103"/>
      <c r="U1438" s="103"/>
      <c r="V1438" s="103"/>
      <c r="W1438" s="103">
        <v>77</v>
      </c>
      <c r="X1438" s="103"/>
      <c r="Y1438" s="103">
        <v>55</v>
      </c>
      <c r="Z1438" s="103"/>
      <c r="AA1438" s="103">
        <v>81</v>
      </c>
      <c r="AB1438" s="103"/>
      <c r="AC1438" s="103">
        <v>1</v>
      </c>
      <c r="AD1438" s="103"/>
      <c r="AE1438" s="103"/>
      <c r="AF1438" s="103"/>
      <c r="AG1438" s="103">
        <v>758</v>
      </c>
      <c r="AH1438" s="103"/>
      <c r="AI1438" s="103"/>
      <c r="AJ1438" s="103"/>
      <c r="AK1438" s="103"/>
      <c r="AL1438" s="103"/>
      <c r="AM1438" s="103"/>
      <c r="AN1438" s="103">
        <v>214</v>
      </c>
      <c r="AO1438" s="103"/>
      <c r="AP1438" s="103"/>
      <c r="AQ1438" s="103"/>
      <c r="AR1438" s="103"/>
      <c r="AS1438" s="103">
        <v>758</v>
      </c>
      <c r="AT1438" s="103"/>
      <c r="AU1438" s="103"/>
      <c r="AV1438" s="103"/>
      <c r="AW1438" s="104" t="str">
        <f>HYPERLINK("http://www.openstreetmap.org/?mlat=36.3671&amp;mlon=43.2056&amp;zoom=12#map=12/36.3671/43.2056","Maplink1")</f>
        <v>Maplink1</v>
      </c>
      <c r="AX1438" s="104" t="str">
        <f>HYPERLINK("https://www.google.iq/maps/search/+36.3671,43.2056/@36.3671,43.2056,14z?hl=en","Maplink2")</f>
        <v>Maplink2</v>
      </c>
      <c r="AY1438" s="104" t="str">
        <f>HYPERLINK("http://www.bing.com/maps/?lvl=14&amp;sty=h&amp;cp=36.3671~43.2056&amp;sp=point.36.3671_43.2056","Maplink3")</f>
        <v>Maplink3</v>
      </c>
    </row>
    <row r="1439" spans="1:51" x14ac:dyDescent="0.2">
      <c r="A1439" s="102">
        <v>17127</v>
      </c>
      <c r="B1439" s="103" t="s">
        <v>35</v>
      </c>
      <c r="C1439" s="103" t="s">
        <v>102</v>
      </c>
      <c r="D1439" s="103" t="s">
        <v>2385</v>
      </c>
      <c r="E1439" s="103" t="s">
        <v>2386</v>
      </c>
      <c r="F1439" s="103">
        <v>35.801342928499999</v>
      </c>
      <c r="G1439" s="103">
        <v>43.294740562900003</v>
      </c>
      <c r="H1439" s="102">
        <v>630</v>
      </c>
      <c r="I1439" s="102">
        <v>3780</v>
      </c>
      <c r="J1439" s="103"/>
      <c r="K1439" s="103"/>
      <c r="L1439" s="103"/>
      <c r="M1439" s="103">
        <v>600</v>
      </c>
      <c r="N1439" s="103">
        <v>30</v>
      </c>
      <c r="O1439" s="103"/>
      <c r="P1439" s="103"/>
      <c r="Q1439" s="103"/>
      <c r="R1439" s="103"/>
      <c r="S1439" s="103"/>
      <c r="T1439" s="103"/>
      <c r="U1439" s="103"/>
      <c r="V1439" s="103"/>
      <c r="W1439" s="103"/>
      <c r="X1439" s="103"/>
      <c r="Y1439" s="103"/>
      <c r="Z1439" s="103"/>
      <c r="AA1439" s="103">
        <v>279</v>
      </c>
      <c r="AB1439" s="103"/>
      <c r="AC1439" s="103">
        <v>151</v>
      </c>
      <c r="AD1439" s="103"/>
      <c r="AE1439" s="103"/>
      <c r="AF1439" s="103"/>
      <c r="AG1439" s="103">
        <v>200</v>
      </c>
      <c r="AH1439" s="103"/>
      <c r="AI1439" s="103"/>
      <c r="AJ1439" s="103"/>
      <c r="AK1439" s="103"/>
      <c r="AL1439" s="103"/>
      <c r="AM1439" s="103"/>
      <c r="AN1439" s="103"/>
      <c r="AO1439" s="103">
        <v>3</v>
      </c>
      <c r="AP1439" s="103"/>
      <c r="AQ1439" s="103">
        <v>304</v>
      </c>
      <c r="AR1439" s="103">
        <v>205</v>
      </c>
      <c r="AS1439" s="103">
        <v>118</v>
      </c>
      <c r="AT1439" s="103"/>
      <c r="AU1439" s="103"/>
      <c r="AV1439" s="103"/>
      <c r="AW1439" s="104" t="str">
        <f>HYPERLINK("http://www.openstreetmap.org/?mlat=35.8013&amp;mlon=43.2947&amp;zoom=12#map=12/35.8013/43.2947","Maplink1")</f>
        <v>Maplink1</v>
      </c>
      <c r="AX1439" s="104" t="str">
        <f>HYPERLINK("https://www.google.iq/maps/search/+35.8013,43.2947/@35.8013,43.2947,14z?hl=en","Maplink2")</f>
        <v>Maplink2</v>
      </c>
      <c r="AY1439" s="104" t="str">
        <f>HYPERLINK("http://www.bing.com/maps/?lvl=14&amp;sty=h&amp;cp=35.8013~43.2947&amp;sp=point.35.8013_43.2947","Maplink3")</f>
        <v>Maplink3</v>
      </c>
    </row>
    <row r="1440" spans="1:51" x14ac:dyDescent="0.2">
      <c r="A1440" s="102">
        <v>22215</v>
      </c>
      <c r="B1440" s="103" t="s">
        <v>35</v>
      </c>
      <c r="C1440" s="103" t="s">
        <v>102</v>
      </c>
      <c r="D1440" s="103" t="s">
        <v>2387</v>
      </c>
      <c r="E1440" s="103" t="s">
        <v>2388</v>
      </c>
      <c r="F1440" s="103">
        <v>36.412831934400003</v>
      </c>
      <c r="G1440" s="103">
        <v>43.319414633400001</v>
      </c>
      <c r="H1440" s="102">
        <v>971</v>
      </c>
      <c r="I1440" s="102">
        <v>5826</v>
      </c>
      <c r="J1440" s="103"/>
      <c r="K1440" s="103"/>
      <c r="L1440" s="103"/>
      <c r="M1440" s="103">
        <v>971</v>
      </c>
      <c r="N1440" s="103"/>
      <c r="O1440" s="103"/>
      <c r="P1440" s="103"/>
      <c r="Q1440" s="103"/>
      <c r="R1440" s="103"/>
      <c r="S1440" s="103"/>
      <c r="T1440" s="103"/>
      <c r="U1440" s="103"/>
      <c r="V1440" s="103">
        <v>1</v>
      </c>
      <c r="W1440" s="103"/>
      <c r="X1440" s="103">
        <v>2</v>
      </c>
      <c r="Y1440" s="103">
        <v>35</v>
      </c>
      <c r="Z1440" s="103"/>
      <c r="AA1440" s="103">
        <v>87</v>
      </c>
      <c r="AB1440" s="103">
        <v>8</v>
      </c>
      <c r="AC1440" s="103"/>
      <c r="AD1440" s="103">
        <v>2</v>
      </c>
      <c r="AE1440" s="103"/>
      <c r="AF1440" s="103">
        <v>10</v>
      </c>
      <c r="AG1440" s="103">
        <v>826</v>
      </c>
      <c r="AH1440" s="103"/>
      <c r="AI1440" s="103"/>
      <c r="AJ1440" s="103"/>
      <c r="AK1440" s="103"/>
      <c r="AL1440" s="103"/>
      <c r="AM1440" s="103"/>
      <c r="AN1440" s="103"/>
      <c r="AO1440" s="103">
        <v>571</v>
      </c>
      <c r="AP1440" s="103"/>
      <c r="AQ1440" s="103"/>
      <c r="AR1440" s="103"/>
      <c r="AS1440" s="103">
        <v>400</v>
      </c>
      <c r="AT1440" s="103"/>
      <c r="AU1440" s="103"/>
      <c r="AV1440" s="103"/>
      <c r="AW1440" s="104" t="str">
        <f>HYPERLINK("http://www.openstreetmap.org/?mlat=36.4128&amp;mlon=43.3194&amp;zoom=12#map=12/36.4128/43.3194","Maplink1")</f>
        <v>Maplink1</v>
      </c>
      <c r="AX1440" s="104" t="str">
        <f>HYPERLINK("https://www.google.iq/maps/search/+36.4128,43.3194/@36.4128,43.3194,14z?hl=en","Maplink2")</f>
        <v>Maplink2</v>
      </c>
      <c r="AY1440" s="104" t="str">
        <f>HYPERLINK("http://www.bing.com/maps/?lvl=14&amp;sty=h&amp;cp=36.4128~43.3194&amp;sp=point.36.4128_43.3194","Maplink3")</f>
        <v>Maplink3</v>
      </c>
    </row>
    <row r="1441" spans="1:51" x14ac:dyDescent="0.2">
      <c r="A1441" s="102">
        <v>31734</v>
      </c>
      <c r="B1441" s="103" t="s">
        <v>35</v>
      </c>
      <c r="C1441" s="103" t="s">
        <v>102</v>
      </c>
      <c r="D1441" s="103" t="s">
        <v>2389</v>
      </c>
      <c r="E1441" s="103" t="s">
        <v>2390</v>
      </c>
      <c r="F1441" s="103">
        <v>36.075111419499997</v>
      </c>
      <c r="G1441" s="103">
        <v>43.290076742399997</v>
      </c>
      <c r="H1441" s="102">
        <v>75</v>
      </c>
      <c r="I1441" s="102">
        <v>450</v>
      </c>
      <c r="J1441" s="103"/>
      <c r="K1441" s="103"/>
      <c r="L1441" s="103"/>
      <c r="M1441" s="103">
        <v>73</v>
      </c>
      <c r="N1441" s="103">
        <v>2</v>
      </c>
      <c r="O1441" s="103"/>
      <c r="P1441" s="103"/>
      <c r="Q1441" s="103"/>
      <c r="R1441" s="103"/>
      <c r="S1441" s="103"/>
      <c r="T1441" s="103"/>
      <c r="U1441" s="103"/>
      <c r="V1441" s="103"/>
      <c r="W1441" s="103"/>
      <c r="X1441" s="103"/>
      <c r="Y1441" s="103"/>
      <c r="Z1441" s="103"/>
      <c r="AA1441" s="103"/>
      <c r="AB1441" s="103"/>
      <c r="AC1441" s="103"/>
      <c r="AD1441" s="103"/>
      <c r="AE1441" s="103"/>
      <c r="AF1441" s="103"/>
      <c r="AG1441" s="103">
        <v>75</v>
      </c>
      <c r="AH1441" s="103"/>
      <c r="AI1441" s="103"/>
      <c r="AJ1441" s="103"/>
      <c r="AK1441" s="103"/>
      <c r="AL1441" s="103"/>
      <c r="AM1441" s="103"/>
      <c r="AN1441" s="103"/>
      <c r="AO1441" s="103"/>
      <c r="AP1441" s="103"/>
      <c r="AQ1441" s="103"/>
      <c r="AR1441" s="103"/>
      <c r="AS1441" s="103">
        <v>75</v>
      </c>
      <c r="AT1441" s="103"/>
      <c r="AU1441" s="103"/>
      <c r="AV1441" s="103"/>
      <c r="AW1441" s="104" t="str">
        <f>HYPERLINK("http://www.openstreetmap.org/?mlat=36.0751&amp;mlon=43.2901&amp;zoom=12#map=12/36.0751/43.2901","Maplink1")</f>
        <v>Maplink1</v>
      </c>
      <c r="AX1441" s="104" t="str">
        <f>HYPERLINK("https://www.google.iq/maps/search/+36.0751,43.2901/@36.0751,43.2901,14z?hl=en","Maplink2")</f>
        <v>Maplink2</v>
      </c>
      <c r="AY1441" s="104" t="str">
        <f>HYPERLINK("http://www.bing.com/maps/?lvl=14&amp;sty=h&amp;cp=36.0751~43.2901&amp;sp=point.36.0751_43.2901","Maplink3")</f>
        <v>Maplink3</v>
      </c>
    </row>
    <row r="1442" spans="1:51" x14ac:dyDescent="0.2">
      <c r="A1442" s="102">
        <v>31735</v>
      </c>
      <c r="B1442" s="103" t="s">
        <v>35</v>
      </c>
      <c r="C1442" s="103" t="s">
        <v>102</v>
      </c>
      <c r="D1442" s="103" t="s">
        <v>2391</v>
      </c>
      <c r="E1442" s="103" t="s">
        <v>2392</v>
      </c>
      <c r="F1442" s="103">
        <v>35.730380611500003</v>
      </c>
      <c r="G1442" s="103">
        <v>43.281913141399997</v>
      </c>
      <c r="H1442" s="102">
        <v>600</v>
      </c>
      <c r="I1442" s="102">
        <v>3600</v>
      </c>
      <c r="J1442" s="103"/>
      <c r="K1442" s="103"/>
      <c r="L1442" s="103"/>
      <c r="M1442" s="103">
        <v>600</v>
      </c>
      <c r="N1442" s="103"/>
      <c r="O1442" s="103"/>
      <c r="P1442" s="103"/>
      <c r="Q1442" s="103"/>
      <c r="R1442" s="103"/>
      <c r="S1442" s="103"/>
      <c r="T1442" s="103"/>
      <c r="U1442" s="103"/>
      <c r="V1442" s="103"/>
      <c r="W1442" s="103"/>
      <c r="X1442" s="103"/>
      <c r="Y1442" s="103"/>
      <c r="Z1442" s="103"/>
      <c r="AA1442" s="103">
        <v>100</v>
      </c>
      <c r="AB1442" s="103"/>
      <c r="AC1442" s="103">
        <v>200</v>
      </c>
      <c r="AD1442" s="103"/>
      <c r="AE1442" s="103"/>
      <c r="AF1442" s="103"/>
      <c r="AG1442" s="103">
        <v>300</v>
      </c>
      <c r="AH1442" s="103"/>
      <c r="AI1442" s="103"/>
      <c r="AJ1442" s="103"/>
      <c r="AK1442" s="103"/>
      <c r="AL1442" s="103"/>
      <c r="AM1442" s="103"/>
      <c r="AN1442" s="103"/>
      <c r="AO1442" s="103"/>
      <c r="AP1442" s="103"/>
      <c r="AQ1442" s="103"/>
      <c r="AR1442" s="103">
        <v>600</v>
      </c>
      <c r="AS1442" s="103"/>
      <c r="AT1442" s="103"/>
      <c r="AU1442" s="103"/>
      <c r="AV1442" s="103"/>
      <c r="AW1442" s="104" t="str">
        <f>HYPERLINK("http://www.openstreetmap.org/?mlat=35.7304&amp;mlon=43.2819&amp;zoom=12#map=12/35.7304/43.2819","Maplink1")</f>
        <v>Maplink1</v>
      </c>
      <c r="AX1442" s="104" t="str">
        <f>HYPERLINK("https://www.google.iq/maps/search/+35.7304,43.2819/@35.7304,43.2819,14z?hl=en","Maplink2")</f>
        <v>Maplink2</v>
      </c>
      <c r="AY1442" s="104" t="str">
        <f>HYPERLINK("http://www.bing.com/maps/?lvl=14&amp;sty=h&amp;cp=35.7304~43.2819&amp;sp=point.35.7304_43.2819","Maplink3")</f>
        <v>Maplink3</v>
      </c>
    </row>
    <row r="1443" spans="1:51" x14ac:dyDescent="0.2">
      <c r="A1443" s="102">
        <v>31885</v>
      </c>
      <c r="B1443" s="103" t="s">
        <v>35</v>
      </c>
      <c r="C1443" s="103" t="s">
        <v>102</v>
      </c>
      <c r="D1443" s="103" t="s">
        <v>2393</v>
      </c>
      <c r="E1443" s="103" t="s">
        <v>2394</v>
      </c>
      <c r="F1443" s="103">
        <v>36.122709999999998</v>
      </c>
      <c r="G1443" s="103">
        <v>43.193137788999998</v>
      </c>
      <c r="H1443" s="102">
        <v>75</v>
      </c>
      <c r="I1443" s="102">
        <v>450</v>
      </c>
      <c r="J1443" s="103"/>
      <c r="K1443" s="103"/>
      <c r="L1443" s="103"/>
      <c r="M1443" s="103">
        <v>66</v>
      </c>
      <c r="N1443" s="103">
        <v>9</v>
      </c>
      <c r="O1443" s="103"/>
      <c r="P1443" s="103"/>
      <c r="Q1443" s="103"/>
      <c r="R1443" s="103"/>
      <c r="S1443" s="103"/>
      <c r="T1443" s="103"/>
      <c r="U1443" s="103"/>
      <c r="V1443" s="103"/>
      <c r="W1443" s="103"/>
      <c r="X1443" s="103"/>
      <c r="Y1443" s="103"/>
      <c r="Z1443" s="103"/>
      <c r="AA1443" s="103"/>
      <c r="AB1443" s="103"/>
      <c r="AC1443" s="103"/>
      <c r="AD1443" s="103"/>
      <c r="AE1443" s="103"/>
      <c r="AF1443" s="103"/>
      <c r="AG1443" s="103">
        <v>75</v>
      </c>
      <c r="AH1443" s="103"/>
      <c r="AI1443" s="103"/>
      <c r="AJ1443" s="103"/>
      <c r="AK1443" s="103"/>
      <c r="AL1443" s="103"/>
      <c r="AM1443" s="103"/>
      <c r="AN1443" s="103"/>
      <c r="AO1443" s="103"/>
      <c r="AP1443" s="103"/>
      <c r="AQ1443" s="103"/>
      <c r="AR1443" s="103"/>
      <c r="AS1443" s="103">
        <v>75</v>
      </c>
      <c r="AT1443" s="103"/>
      <c r="AU1443" s="103"/>
      <c r="AV1443" s="103"/>
      <c r="AW1443" s="104" t="str">
        <f>HYPERLINK("http://www.openstreetmap.org/?mlat=36.1227&amp;mlon=43.1931&amp;zoom=12#map=12/36.1227/43.1931","Maplink1")</f>
        <v>Maplink1</v>
      </c>
      <c r="AX1443" s="104" t="str">
        <f>HYPERLINK("https://www.google.iq/maps/search/+36.1227,43.1931/@36.1227,43.1931,14z?hl=en","Maplink2")</f>
        <v>Maplink2</v>
      </c>
      <c r="AY1443" s="104" t="str">
        <f>HYPERLINK("http://www.bing.com/maps/?lvl=14&amp;sty=h&amp;cp=36.1227~43.1931&amp;sp=point.36.1227_43.1931","Maplink3")</f>
        <v>Maplink3</v>
      </c>
    </row>
    <row r="1444" spans="1:51" x14ac:dyDescent="0.2">
      <c r="A1444" s="102">
        <v>18407</v>
      </c>
      <c r="B1444" s="103" t="s">
        <v>35</v>
      </c>
      <c r="C1444" s="103" t="s">
        <v>102</v>
      </c>
      <c r="D1444" s="103" t="s">
        <v>2860</v>
      </c>
      <c r="E1444" s="103" t="s">
        <v>2861</v>
      </c>
      <c r="F1444" s="103">
        <v>36.477394611900003</v>
      </c>
      <c r="G1444" s="103">
        <v>43.273607183000003</v>
      </c>
      <c r="H1444" s="102">
        <v>1021</v>
      </c>
      <c r="I1444" s="102">
        <v>6126</v>
      </c>
      <c r="J1444" s="103"/>
      <c r="K1444" s="103"/>
      <c r="L1444" s="103"/>
      <c r="M1444" s="103">
        <v>1021</v>
      </c>
      <c r="N1444" s="103"/>
      <c r="O1444" s="103"/>
      <c r="P1444" s="103"/>
      <c r="Q1444" s="103"/>
      <c r="R1444" s="103"/>
      <c r="S1444" s="103"/>
      <c r="T1444" s="103"/>
      <c r="U1444" s="103"/>
      <c r="V1444" s="103"/>
      <c r="W1444" s="103"/>
      <c r="X1444" s="103"/>
      <c r="Y1444" s="103">
        <v>155</v>
      </c>
      <c r="Z1444" s="103"/>
      <c r="AA1444" s="103">
        <v>10</v>
      </c>
      <c r="AB1444" s="103"/>
      <c r="AC1444" s="103"/>
      <c r="AD1444" s="103"/>
      <c r="AE1444" s="103"/>
      <c r="AF1444" s="103">
        <v>3</v>
      </c>
      <c r="AG1444" s="103">
        <v>853</v>
      </c>
      <c r="AH1444" s="103"/>
      <c r="AI1444" s="103"/>
      <c r="AJ1444" s="103"/>
      <c r="AK1444" s="103"/>
      <c r="AL1444" s="103"/>
      <c r="AM1444" s="103"/>
      <c r="AN1444" s="103"/>
      <c r="AO1444" s="103">
        <v>917</v>
      </c>
      <c r="AP1444" s="103"/>
      <c r="AQ1444" s="103"/>
      <c r="AR1444" s="103"/>
      <c r="AS1444" s="103">
        <v>104</v>
      </c>
      <c r="AT1444" s="103"/>
      <c r="AU1444" s="103"/>
      <c r="AV1444" s="103"/>
      <c r="AW1444" s="104" t="str">
        <f>HYPERLINK("http://www.openstreetmap.org/?mlat=36.4774&amp;mlon=43.2736&amp;zoom=12#map=12/36.4774/43.2736","Maplink1")</f>
        <v>Maplink1</v>
      </c>
      <c r="AX1444" s="104" t="str">
        <f>HYPERLINK("https://www.google.iq/maps/search/+36.4774,43.2736/@36.4774,43.2736,14z?hl=en","Maplink2")</f>
        <v>Maplink2</v>
      </c>
      <c r="AY1444" s="104" t="str">
        <f>HYPERLINK("http://www.bing.com/maps/?lvl=14&amp;sty=h&amp;cp=36.4774~43.2736&amp;sp=point.36.4774_43.2736","Maplink3")</f>
        <v>Maplink3</v>
      </c>
    </row>
    <row r="1445" spans="1:51" x14ac:dyDescent="0.2">
      <c r="A1445" s="102">
        <v>21580</v>
      </c>
      <c r="B1445" s="103" t="s">
        <v>35</v>
      </c>
      <c r="C1445" s="103" t="s">
        <v>102</v>
      </c>
      <c r="D1445" s="103" t="s">
        <v>2862</v>
      </c>
      <c r="E1445" s="103" t="s">
        <v>2863</v>
      </c>
      <c r="F1445" s="103">
        <v>36.422829</v>
      </c>
      <c r="G1445" s="103">
        <v>43.232083106600001</v>
      </c>
      <c r="H1445" s="102">
        <v>544</v>
      </c>
      <c r="I1445" s="102">
        <v>3264</v>
      </c>
      <c r="J1445" s="103"/>
      <c r="K1445" s="103"/>
      <c r="L1445" s="103"/>
      <c r="M1445" s="103">
        <v>544</v>
      </c>
      <c r="N1445" s="103"/>
      <c r="O1445" s="103"/>
      <c r="P1445" s="103"/>
      <c r="Q1445" s="103"/>
      <c r="R1445" s="103"/>
      <c r="S1445" s="103"/>
      <c r="T1445" s="103"/>
      <c r="U1445" s="103"/>
      <c r="V1445" s="103">
        <v>2</v>
      </c>
      <c r="W1445" s="103">
        <v>1</v>
      </c>
      <c r="X1445" s="103"/>
      <c r="Y1445" s="103">
        <v>55</v>
      </c>
      <c r="Z1445" s="103"/>
      <c r="AA1445" s="103">
        <v>104</v>
      </c>
      <c r="AB1445" s="103">
        <v>2</v>
      </c>
      <c r="AC1445" s="103">
        <v>1</v>
      </c>
      <c r="AD1445" s="103">
        <v>2</v>
      </c>
      <c r="AE1445" s="103"/>
      <c r="AF1445" s="103"/>
      <c r="AG1445" s="103">
        <v>369</v>
      </c>
      <c r="AH1445" s="103"/>
      <c r="AI1445" s="103"/>
      <c r="AJ1445" s="103">
        <v>5</v>
      </c>
      <c r="AK1445" s="103"/>
      <c r="AL1445" s="103">
        <v>3</v>
      </c>
      <c r="AM1445" s="103"/>
      <c r="AN1445" s="103"/>
      <c r="AO1445" s="103">
        <v>544</v>
      </c>
      <c r="AP1445" s="103"/>
      <c r="AQ1445" s="103"/>
      <c r="AR1445" s="103"/>
      <c r="AS1445" s="103"/>
      <c r="AT1445" s="103"/>
      <c r="AU1445" s="103"/>
      <c r="AV1445" s="103"/>
      <c r="AW1445" s="104" t="str">
        <f>HYPERLINK("http://www.openstreetmap.org/?mlat=36.4228&amp;mlon=43.2321&amp;zoom=12#map=12/36.4228/43.2321","Maplink1")</f>
        <v>Maplink1</v>
      </c>
      <c r="AX1445" s="104" t="str">
        <f>HYPERLINK("https://www.google.iq/maps/search/+36.4228,43.2321/@36.4228,43.2321,14z?hl=en","Maplink2")</f>
        <v>Maplink2</v>
      </c>
      <c r="AY1445" s="104" t="str">
        <f>HYPERLINK("http://www.bing.com/maps/?lvl=14&amp;sty=h&amp;cp=36.4228~43.2321&amp;sp=point.36.4228_43.2321","Maplink3")</f>
        <v>Maplink3</v>
      </c>
    </row>
    <row r="1446" spans="1:51" x14ac:dyDescent="0.2">
      <c r="A1446" s="102">
        <v>28435</v>
      </c>
      <c r="B1446" s="103" t="s">
        <v>35</v>
      </c>
      <c r="C1446" s="103" t="s">
        <v>102</v>
      </c>
      <c r="D1446" s="103" t="s">
        <v>2864</v>
      </c>
      <c r="E1446" s="103" t="s">
        <v>2865</v>
      </c>
      <c r="F1446" s="103">
        <v>36.421607104700001</v>
      </c>
      <c r="G1446" s="103">
        <v>42.766795425200002</v>
      </c>
      <c r="H1446" s="102">
        <v>860</v>
      </c>
      <c r="I1446" s="102">
        <v>5160</v>
      </c>
      <c r="J1446" s="103"/>
      <c r="K1446" s="103"/>
      <c r="L1446" s="103"/>
      <c r="M1446" s="103">
        <v>639</v>
      </c>
      <c r="N1446" s="103">
        <v>221</v>
      </c>
      <c r="O1446" s="103"/>
      <c r="P1446" s="103"/>
      <c r="Q1446" s="103"/>
      <c r="R1446" s="103"/>
      <c r="S1446" s="103"/>
      <c r="T1446" s="103"/>
      <c r="U1446" s="103"/>
      <c r="V1446" s="103"/>
      <c r="W1446" s="103"/>
      <c r="X1446" s="103"/>
      <c r="Y1446" s="103"/>
      <c r="Z1446" s="103"/>
      <c r="AA1446" s="103"/>
      <c r="AB1446" s="103"/>
      <c r="AC1446" s="103"/>
      <c r="AD1446" s="103"/>
      <c r="AE1446" s="103"/>
      <c r="AF1446" s="103"/>
      <c r="AG1446" s="103">
        <v>860</v>
      </c>
      <c r="AH1446" s="103"/>
      <c r="AI1446" s="103"/>
      <c r="AJ1446" s="103"/>
      <c r="AK1446" s="103"/>
      <c r="AL1446" s="103"/>
      <c r="AM1446" s="103"/>
      <c r="AN1446" s="103"/>
      <c r="AO1446" s="103"/>
      <c r="AP1446" s="103"/>
      <c r="AQ1446" s="103"/>
      <c r="AR1446" s="103"/>
      <c r="AS1446" s="103"/>
      <c r="AT1446" s="103">
        <v>860</v>
      </c>
      <c r="AU1446" s="103"/>
      <c r="AV1446" s="103"/>
      <c r="AW1446" s="104" t="str">
        <f>HYPERLINK("http://www.openstreetmap.org/?mlat=36.4216&amp;mlon=42.7668&amp;zoom=12#map=12/36.4216/42.7668","Maplink1")</f>
        <v>Maplink1</v>
      </c>
      <c r="AX1446" s="104" t="str">
        <f>HYPERLINK("https://www.google.iq/maps/search/+36.4216,42.7668/@36.4216,42.7668,14z?hl=en","Maplink2")</f>
        <v>Maplink2</v>
      </c>
      <c r="AY1446" s="104" t="str">
        <f>HYPERLINK("http://www.bing.com/maps/?lvl=14&amp;sty=h&amp;cp=36.4216~42.7668&amp;sp=point.36.4216_42.7668","Maplink3")</f>
        <v>Maplink3</v>
      </c>
    </row>
    <row r="1447" spans="1:51" x14ac:dyDescent="0.2">
      <c r="A1447" s="102">
        <v>29648</v>
      </c>
      <c r="B1447" s="103" t="s">
        <v>35</v>
      </c>
      <c r="C1447" s="103" t="s">
        <v>102</v>
      </c>
      <c r="D1447" s="103" t="s">
        <v>2866</v>
      </c>
      <c r="E1447" s="103" t="s">
        <v>2867</v>
      </c>
      <c r="F1447" s="103">
        <v>36.025735625199999</v>
      </c>
      <c r="G1447" s="103">
        <v>43.319436881100003</v>
      </c>
      <c r="H1447" s="102">
        <v>83</v>
      </c>
      <c r="I1447" s="102">
        <v>498</v>
      </c>
      <c r="J1447" s="103"/>
      <c r="K1447" s="103"/>
      <c r="L1447" s="103"/>
      <c r="M1447" s="103">
        <v>83</v>
      </c>
      <c r="N1447" s="103"/>
      <c r="O1447" s="103"/>
      <c r="P1447" s="103"/>
      <c r="Q1447" s="103"/>
      <c r="R1447" s="103"/>
      <c r="S1447" s="103"/>
      <c r="T1447" s="103"/>
      <c r="U1447" s="103"/>
      <c r="V1447" s="103"/>
      <c r="W1447" s="103"/>
      <c r="X1447" s="103"/>
      <c r="Y1447" s="103"/>
      <c r="Z1447" s="103"/>
      <c r="AA1447" s="103"/>
      <c r="AB1447" s="103"/>
      <c r="AC1447" s="103"/>
      <c r="AD1447" s="103"/>
      <c r="AE1447" s="103"/>
      <c r="AF1447" s="103"/>
      <c r="AG1447" s="103">
        <v>83</v>
      </c>
      <c r="AH1447" s="103"/>
      <c r="AI1447" s="103"/>
      <c r="AJ1447" s="103"/>
      <c r="AK1447" s="103"/>
      <c r="AL1447" s="103"/>
      <c r="AM1447" s="103"/>
      <c r="AN1447" s="103"/>
      <c r="AO1447" s="103"/>
      <c r="AP1447" s="103"/>
      <c r="AQ1447" s="103"/>
      <c r="AR1447" s="103"/>
      <c r="AS1447" s="103">
        <v>83</v>
      </c>
      <c r="AT1447" s="103"/>
      <c r="AU1447" s="103"/>
      <c r="AV1447" s="103"/>
      <c r="AW1447" s="104" t="str">
        <f>HYPERLINK("http://www.openstreetmap.org/?mlat=36.0257&amp;mlon=43.3194&amp;zoom=12#map=12/36.0257/43.3194","Maplink1")</f>
        <v>Maplink1</v>
      </c>
      <c r="AX1447" s="104" t="str">
        <f>HYPERLINK("https://www.google.iq/maps/search/+36.0257,43.3194/@36.0257,43.3194,14z?hl=en","Maplink2")</f>
        <v>Maplink2</v>
      </c>
      <c r="AY1447" s="104" t="str">
        <f>HYPERLINK("http://www.bing.com/maps/?lvl=14&amp;sty=h&amp;cp=36.0257~43.3194&amp;sp=point.36.0257_43.3194","Maplink3")</f>
        <v>Maplink3</v>
      </c>
    </row>
    <row r="1448" spans="1:51" x14ac:dyDescent="0.2">
      <c r="A1448" s="102">
        <v>31705</v>
      </c>
      <c r="B1448" s="103" t="s">
        <v>35</v>
      </c>
      <c r="C1448" s="103" t="s">
        <v>102</v>
      </c>
      <c r="D1448" s="103" t="s">
        <v>2868</v>
      </c>
      <c r="E1448" s="103" t="s">
        <v>2869</v>
      </c>
      <c r="F1448" s="103">
        <v>36.003586095499998</v>
      </c>
      <c r="G1448" s="103">
        <v>43.289975671400001</v>
      </c>
      <c r="H1448" s="102">
        <v>260</v>
      </c>
      <c r="I1448" s="102">
        <v>1560</v>
      </c>
      <c r="J1448" s="103"/>
      <c r="K1448" s="103"/>
      <c r="L1448" s="103"/>
      <c r="M1448" s="103">
        <v>255</v>
      </c>
      <c r="N1448" s="103">
        <v>5</v>
      </c>
      <c r="O1448" s="103"/>
      <c r="P1448" s="103"/>
      <c r="Q1448" s="103"/>
      <c r="R1448" s="103"/>
      <c r="S1448" s="103"/>
      <c r="T1448" s="103"/>
      <c r="U1448" s="103"/>
      <c r="V1448" s="103"/>
      <c r="W1448" s="103"/>
      <c r="X1448" s="103"/>
      <c r="Y1448" s="103"/>
      <c r="Z1448" s="103"/>
      <c r="AA1448" s="103"/>
      <c r="AB1448" s="103"/>
      <c r="AC1448" s="103"/>
      <c r="AD1448" s="103"/>
      <c r="AE1448" s="103"/>
      <c r="AF1448" s="103"/>
      <c r="AG1448" s="103">
        <v>260</v>
      </c>
      <c r="AH1448" s="103"/>
      <c r="AI1448" s="103"/>
      <c r="AJ1448" s="103"/>
      <c r="AK1448" s="103"/>
      <c r="AL1448" s="103"/>
      <c r="AM1448" s="103"/>
      <c r="AN1448" s="103"/>
      <c r="AO1448" s="103"/>
      <c r="AP1448" s="103"/>
      <c r="AQ1448" s="103"/>
      <c r="AR1448" s="103">
        <v>260</v>
      </c>
      <c r="AS1448" s="103"/>
      <c r="AT1448" s="103"/>
      <c r="AU1448" s="103"/>
      <c r="AV1448" s="103"/>
      <c r="AW1448" s="104" t="str">
        <f>HYPERLINK("http://www.openstreetmap.org/?mlat=36.0036&amp;mlon=43.29&amp;zoom=12#map=12/36.0036/43.29","Maplink1")</f>
        <v>Maplink1</v>
      </c>
      <c r="AX1448" s="104" t="str">
        <f>HYPERLINK("https://www.google.iq/maps/search/+36.0036,43.29/@36.0036,43.29,14z?hl=en","Maplink2")</f>
        <v>Maplink2</v>
      </c>
      <c r="AY1448" s="104" t="str">
        <f>HYPERLINK("http://www.bing.com/maps/?lvl=14&amp;sty=h&amp;cp=36.0036~43.29&amp;sp=point.36.0036_43.29","Maplink3")</f>
        <v>Maplink3</v>
      </c>
    </row>
    <row r="1449" spans="1:51" x14ac:dyDescent="0.2">
      <c r="A1449" s="102">
        <v>22129</v>
      </c>
      <c r="B1449" s="103" t="s">
        <v>35</v>
      </c>
      <c r="C1449" s="103" t="s">
        <v>102</v>
      </c>
      <c r="D1449" s="103" t="s">
        <v>2870</v>
      </c>
      <c r="E1449" s="103" t="s">
        <v>2871</v>
      </c>
      <c r="F1449" s="103">
        <v>36.511401661299999</v>
      </c>
      <c r="G1449" s="103">
        <v>43.223792626600002</v>
      </c>
      <c r="H1449" s="102">
        <v>980</v>
      </c>
      <c r="I1449" s="102">
        <v>5880</v>
      </c>
      <c r="J1449" s="103"/>
      <c r="K1449" s="103"/>
      <c r="L1449" s="103"/>
      <c r="M1449" s="103">
        <v>980</v>
      </c>
      <c r="N1449" s="103"/>
      <c r="O1449" s="103"/>
      <c r="P1449" s="103"/>
      <c r="Q1449" s="103"/>
      <c r="R1449" s="103"/>
      <c r="S1449" s="103"/>
      <c r="T1449" s="103"/>
      <c r="U1449" s="103"/>
      <c r="V1449" s="103">
        <v>7</v>
      </c>
      <c r="W1449" s="103"/>
      <c r="X1449" s="103"/>
      <c r="Y1449" s="103">
        <v>14</v>
      </c>
      <c r="Z1449" s="103"/>
      <c r="AA1449" s="103"/>
      <c r="AB1449" s="103"/>
      <c r="AC1449" s="103"/>
      <c r="AD1449" s="103"/>
      <c r="AE1449" s="103"/>
      <c r="AF1449" s="103"/>
      <c r="AG1449" s="103">
        <v>955</v>
      </c>
      <c r="AH1449" s="103">
        <v>2</v>
      </c>
      <c r="AI1449" s="103"/>
      <c r="AJ1449" s="103">
        <v>2</v>
      </c>
      <c r="AK1449" s="103"/>
      <c r="AL1449" s="103"/>
      <c r="AM1449" s="103"/>
      <c r="AN1449" s="103"/>
      <c r="AO1449" s="103">
        <v>980</v>
      </c>
      <c r="AP1449" s="103"/>
      <c r="AQ1449" s="103"/>
      <c r="AR1449" s="103"/>
      <c r="AS1449" s="103"/>
      <c r="AT1449" s="103"/>
      <c r="AU1449" s="103"/>
      <c r="AV1449" s="103"/>
      <c r="AW1449" s="104" t="str">
        <f>HYPERLINK("http://www.openstreetmap.org/?mlat=36.5114&amp;mlon=43.2238&amp;zoom=12#map=12/36.5114/43.2238","Maplink1")</f>
        <v>Maplink1</v>
      </c>
      <c r="AX1449" s="104" t="str">
        <f>HYPERLINK("https://www.google.iq/maps/search/+36.5114,43.2238/@36.5114,43.2238,14z?hl=en","Maplink2")</f>
        <v>Maplink2</v>
      </c>
      <c r="AY1449" s="104" t="str">
        <f>HYPERLINK("http://www.bing.com/maps/?lvl=14&amp;sty=h&amp;cp=36.5114~43.2238&amp;sp=point.36.5114_43.2238","Maplink3")</f>
        <v>Maplink3</v>
      </c>
    </row>
    <row r="1450" spans="1:51" x14ac:dyDescent="0.2">
      <c r="A1450" s="102">
        <v>18324</v>
      </c>
      <c r="B1450" s="103" t="s">
        <v>35</v>
      </c>
      <c r="C1450" s="103" t="s">
        <v>102</v>
      </c>
      <c r="D1450" s="103" t="s">
        <v>2872</v>
      </c>
      <c r="E1450" s="103" t="s">
        <v>2873</v>
      </c>
      <c r="F1450" s="103">
        <v>36.048275827600001</v>
      </c>
      <c r="G1450" s="103">
        <v>43.279478333699998</v>
      </c>
      <c r="H1450" s="102">
        <v>300</v>
      </c>
      <c r="I1450" s="102">
        <v>1800</v>
      </c>
      <c r="J1450" s="103"/>
      <c r="K1450" s="103"/>
      <c r="L1450" s="103"/>
      <c r="M1450" s="103">
        <v>295</v>
      </c>
      <c r="N1450" s="103">
        <v>5</v>
      </c>
      <c r="O1450" s="103"/>
      <c r="P1450" s="103"/>
      <c r="Q1450" s="103"/>
      <c r="R1450" s="103"/>
      <c r="S1450" s="103"/>
      <c r="T1450" s="103"/>
      <c r="U1450" s="103"/>
      <c r="V1450" s="103"/>
      <c r="W1450" s="103"/>
      <c r="X1450" s="103"/>
      <c r="Y1450" s="103"/>
      <c r="Z1450" s="103"/>
      <c r="AA1450" s="103"/>
      <c r="AB1450" s="103"/>
      <c r="AC1450" s="103"/>
      <c r="AD1450" s="103"/>
      <c r="AE1450" s="103"/>
      <c r="AF1450" s="103"/>
      <c r="AG1450" s="103">
        <v>300</v>
      </c>
      <c r="AH1450" s="103"/>
      <c r="AI1450" s="103"/>
      <c r="AJ1450" s="103"/>
      <c r="AK1450" s="103"/>
      <c r="AL1450" s="103"/>
      <c r="AM1450" s="103"/>
      <c r="AN1450" s="103"/>
      <c r="AO1450" s="103"/>
      <c r="AP1450" s="103"/>
      <c r="AQ1450" s="103"/>
      <c r="AR1450" s="103"/>
      <c r="AS1450" s="103">
        <v>300</v>
      </c>
      <c r="AT1450" s="103"/>
      <c r="AU1450" s="103"/>
      <c r="AV1450" s="103"/>
      <c r="AW1450" s="104" t="str">
        <f>HYPERLINK("http://www.openstreetmap.org/?mlat=36.0483&amp;mlon=43.2795&amp;zoom=12#map=12/36.0483/43.2795","Maplink1")</f>
        <v>Maplink1</v>
      </c>
      <c r="AX1450" s="104" t="str">
        <f>HYPERLINK("https://www.google.iq/maps/search/+36.0483,43.2795/@36.0483,43.2795,14z?hl=en","Maplink2")</f>
        <v>Maplink2</v>
      </c>
      <c r="AY1450" s="104" t="str">
        <f>HYPERLINK("http://www.bing.com/maps/?lvl=14&amp;sty=h&amp;cp=36.0483~43.2795&amp;sp=point.36.0483_43.2795","Maplink3")</f>
        <v>Maplink3</v>
      </c>
    </row>
    <row r="1451" spans="1:51" x14ac:dyDescent="0.2">
      <c r="A1451" s="102">
        <v>24617</v>
      </c>
      <c r="B1451" s="103" t="s">
        <v>35</v>
      </c>
      <c r="C1451" s="103" t="s">
        <v>102</v>
      </c>
      <c r="D1451" s="103" t="s">
        <v>2609</v>
      </c>
      <c r="E1451" s="103" t="s">
        <v>2610</v>
      </c>
      <c r="F1451" s="103">
        <v>36.302050600000001</v>
      </c>
      <c r="G1451" s="103">
        <v>43.204986599999998</v>
      </c>
      <c r="H1451" s="102">
        <v>30</v>
      </c>
      <c r="I1451" s="102">
        <v>180</v>
      </c>
      <c r="J1451" s="103"/>
      <c r="K1451" s="103"/>
      <c r="L1451" s="103"/>
      <c r="M1451" s="103">
        <v>30</v>
      </c>
      <c r="N1451" s="103"/>
      <c r="O1451" s="103"/>
      <c r="P1451" s="103"/>
      <c r="Q1451" s="103"/>
      <c r="R1451" s="103"/>
      <c r="S1451" s="103"/>
      <c r="T1451" s="103"/>
      <c r="U1451" s="103"/>
      <c r="V1451" s="103"/>
      <c r="W1451" s="103"/>
      <c r="X1451" s="103"/>
      <c r="Y1451" s="103">
        <v>7</v>
      </c>
      <c r="Z1451" s="103"/>
      <c r="AA1451" s="103">
        <v>9</v>
      </c>
      <c r="AB1451" s="103"/>
      <c r="AC1451" s="103">
        <v>2</v>
      </c>
      <c r="AD1451" s="103"/>
      <c r="AE1451" s="103"/>
      <c r="AF1451" s="103"/>
      <c r="AG1451" s="103">
        <v>12</v>
      </c>
      <c r="AH1451" s="103"/>
      <c r="AI1451" s="103"/>
      <c r="AJ1451" s="103"/>
      <c r="AK1451" s="103"/>
      <c r="AL1451" s="103"/>
      <c r="AM1451" s="103"/>
      <c r="AN1451" s="103">
        <v>18</v>
      </c>
      <c r="AO1451" s="103"/>
      <c r="AP1451" s="103"/>
      <c r="AQ1451" s="103"/>
      <c r="AR1451" s="103"/>
      <c r="AS1451" s="103">
        <v>12</v>
      </c>
      <c r="AT1451" s="103"/>
      <c r="AU1451" s="103"/>
      <c r="AV1451" s="103"/>
      <c r="AW1451" s="104" t="str">
        <f>HYPERLINK("http://www.openstreetmap.org/?mlat=36.3021&amp;mlon=43.205&amp;zoom=12#map=12/36.3021/43.205","Maplink1")</f>
        <v>Maplink1</v>
      </c>
      <c r="AX1451" s="104" t="str">
        <f>HYPERLINK("https://www.google.iq/maps/search/+36.3021,43.205/@36.3021,43.205,14z?hl=en","Maplink2")</f>
        <v>Maplink2</v>
      </c>
      <c r="AY1451" s="104" t="str">
        <f>HYPERLINK("http://www.bing.com/maps/?lvl=14&amp;sty=h&amp;cp=36.3021~43.205&amp;sp=point.36.3021_43.205","Maplink3")</f>
        <v>Maplink3</v>
      </c>
    </row>
    <row r="1452" spans="1:51" x14ac:dyDescent="0.2">
      <c r="A1452" s="102">
        <v>25741</v>
      </c>
      <c r="B1452" s="103" t="s">
        <v>35</v>
      </c>
      <c r="C1452" s="103" t="s">
        <v>102</v>
      </c>
      <c r="D1452" s="103" t="s">
        <v>2611</v>
      </c>
      <c r="E1452" s="103" t="s">
        <v>2612</v>
      </c>
      <c r="F1452" s="103">
        <v>36.308566978199998</v>
      </c>
      <c r="G1452" s="103">
        <v>42.923469891099998</v>
      </c>
      <c r="H1452" s="102">
        <v>109</v>
      </c>
      <c r="I1452" s="102">
        <v>654</v>
      </c>
      <c r="J1452" s="103"/>
      <c r="K1452" s="103"/>
      <c r="L1452" s="103"/>
      <c r="M1452" s="103">
        <v>82</v>
      </c>
      <c r="N1452" s="103">
        <v>27</v>
      </c>
      <c r="O1452" s="103"/>
      <c r="P1452" s="103"/>
      <c r="Q1452" s="103"/>
      <c r="R1452" s="103"/>
      <c r="S1452" s="103"/>
      <c r="T1452" s="103"/>
      <c r="U1452" s="103"/>
      <c r="V1452" s="103"/>
      <c r="W1452" s="103"/>
      <c r="X1452" s="103"/>
      <c r="Y1452" s="103"/>
      <c r="Z1452" s="103"/>
      <c r="AA1452" s="103"/>
      <c r="AB1452" s="103"/>
      <c r="AC1452" s="103"/>
      <c r="AD1452" s="103"/>
      <c r="AE1452" s="103"/>
      <c r="AF1452" s="103"/>
      <c r="AG1452" s="103">
        <v>109</v>
      </c>
      <c r="AH1452" s="103"/>
      <c r="AI1452" s="103"/>
      <c r="AJ1452" s="103"/>
      <c r="AK1452" s="103"/>
      <c r="AL1452" s="103"/>
      <c r="AM1452" s="103"/>
      <c r="AN1452" s="103"/>
      <c r="AO1452" s="103"/>
      <c r="AP1452" s="103"/>
      <c r="AQ1452" s="103"/>
      <c r="AR1452" s="103"/>
      <c r="AS1452" s="103">
        <v>109</v>
      </c>
      <c r="AT1452" s="103"/>
      <c r="AU1452" s="103"/>
      <c r="AV1452" s="103"/>
      <c r="AW1452" s="104" t="str">
        <f>HYPERLINK("http://www.openstreetmap.org/?mlat=36.3086&amp;mlon=42.9235&amp;zoom=12#map=12/36.3086/42.9235","Maplink1")</f>
        <v>Maplink1</v>
      </c>
      <c r="AX1452" s="104" t="str">
        <f>HYPERLINK("https://www.google.iq/maps/search/+36.3086,42.9235/@36.3086,42.9235,14z?hl=en","Maplink2")</f>
        <v>Maplink2</v>
      </c>
      <c r="AY1452" s="104" t="str">
        <f>HYPERLINK("http://www.bing.com/maps/?lvl=14&amp;sty=h&amp;cp=36.3086~42.9235&amp;sp=point.36.3086_42.9235","Maplink3")</f>
        <v>Maplink3</v>
      </c>
    </row>
    <row r="1453" spans="1:51" x14ac:dyDescent="0.2">
      <c r="A1453" s="102">
        <v>18313</v>
      </c>
      <c r="B1453" s="103" t="s">
        <v>35</v>
      </c>
      <c r="C1453" s="103" t="s">
        <v>102</v>
      </c>
      <c r="D1453" s="103" t="s">
        <v>2613</v>
      </c>
      <c r="E1453" s="103" t="s">
        <v>2614</v>
      </c>
      <c r="F1453" s="103">
        <v>36.350243146300002</v>
      </c>
      <c r="G1453" s="103">
        <v>43.085158739000001</v>
      </c>
      <c r="H1453" s="102">
        <v>7195</v>
      </c>
      <c r="I1453" s="102">
        <v>43170</v>
      </c>
      <c r="J1453" s="103"/>
      <c r="K1453" s="103"/>
      <c r="L1453" s="103"/>
      <c r="M1453" s="103">
        <v>7195</v>
      </c>
      <c r="N1453" s="103"/>
      <c r="O1453" s="103"/>
      <c r="P1453" s="103"/>
      <c r="Q1453" s="103"/>
      <c r="R1453" s="103"/>
      <c r="S1453" s="103"/>
      <c r="T1453" s="103"/>
      <c r="U1453" s="103"/>
      <c r="V1453" s="103"/>
      <c r="W1453" s="103"/>
      <c r="X1453" s="103"/>
      <c r="Y1453" s="103"/>
      <c r="Z1453" s="103"/>
      <c r="AA1453" s="103"/>
      <c r="AB1453" s="103"/>
      <c r="AC1453" s="103"/>
      <c r="AD1453" s="103"/>
      <c r="AE1453" s="103"/>
      <c r="AF1453" s="103"/>
      <c r="AG1453" s="103">
        <v>7195</v>
      </c>
      <c r="AH1453" s="103"/>
      <c r="AI1453" s="103"/>
      <c r="AJ1453" s="103"/>
      <c r="AK1453" s="103"/>
      <c r="AL1453" s="103"/>
      <c r="AM1453" s="103"/>
      <c r="AN1453" s="103"/>
      <c r="AO1453" s="103"/>
      <c r="AP1453" s="103"/>
      <c r="AQ1453" s="103"/>
      <c r="AR1453" s="103"/>
      <c r="AS1453" s="103">
        <v>7195</v>
      </c>
      <c r="AT1453" s="103"/>
      <c r="AU1453" s="103"/>
      <c r="AV1453" s="103"/>
      <c r="AW1453" s="104" t="str">
        <f>HYPERLINK("http://www.openstreetmap.org/?mlat=36.3502&amp;mlon=43.0852&amp;zoom=12#map=12/36.3502/43.0852","Maplink1")</f>
        <v>Maplink1</v>
      </c>
      <c r="AX1453" s="104" t="str">
        <f>HYPERLINK("https://www.google.iq/maps/search/+36.3502,43.0852/@36.3502,43.0852,14z?hl=en","Maplink2")</f>
        <v>Maplink2</v>
      </c>
      <c r="AY1453" s="104" t="str">
        <f>HYPERLINK("http://www.bing.com/maps/?lvl=14&amp;sty=h&amp;cp=36.3502~43.0852&amp;sp=point.36.3502_43.0852","Maplink3")</f>
        <v>Maplink3</v>
      </c>
    </row>
    <row r="1454" spans="1:51" x14ac:dyDescent="0.2">
      <c r="A1454" s="102">
        <v>29663</v>
      </c>
      <c r="B1454" s="103" t="s">
        <v>35</v>
      </c>
      <c r="C1454" s="103" t="s">
        <v>102</v>
      </c>
      <c r="D1454" s="103" t="s">
        <v>2615</v>
      </c>
      <c r="E1454" s="103" t="s">
        <v>2616</v>
      </c>
      <c r="F1454" s="103">
        <v>35.746665</v>
      </c>
      <c r="G1454" s="103">
        <v>43.282475151600003</v>
      </c>
      <c r="H1454" s="102">
        <v>160</v>
      </c>
      <c r="I1454" s="102">
        <v>960</v>
      </c>
      <c r="J1454" s="103"/>
      <c r="K1454" s="103"/>
      <c r="L1454" s="103"/>
      <c r="M1454" s="103">
        <v>160</v>
      </c>
      <c r="N1454" s="103"/>
      <c r="O1454" s="103"/>
      <c r="P1454" s="103"/>
      <c r="Q1454" s="103"/>
      <c r="R1454" s="103"/>
      <c r="S1454" s="103"/>
      <c r="T1454" s="103"/>
      <c r="U1454" s="103"/>
      <c r="V1454" s="103"/>
      <c r="W1454" s="103"/>
      <c r="X1454" s="103"/>
      <c r="Y1454" s="103"/>
      <c r="Z1454" s="103"/>
      <c r="AA1454" s="103">
        <v>160</v>
      </c>
      <c r="AB1454" s="103"/>
      <c r="AC1454" s="103"/>
      <c r="AD1454" s="103"/>
      <c r="AE1454" s="103"/>
      <c r="AF1454" s="103"/>
      <c r="AG1454" s="103"/>
      <c r="AH1454" s="103"/>
      <c r="AI1454" s="103"/>
      <c r="AJ1454" s="103"/>
      <c r="AK1454" s="103"/>
      <c r="AL1454" s="103"/>
      <c r="AM1454" s="103"/>
      <c r="AN1454" s="103"/>
      <c r="AO1454" s="103"/>
      <c r="AP1454" s="103"/>
      <c r="AQ1454" s="103"/>
      <c r="AR1454" s="103">
        <v>160</v>
      </c>
      <c r="AS1454" s="103"/>
      <c r="AT1454" s="103"/>
      <c r="AU1454" s="103"/>
      <c r="AV1454" s="103"/>
      <c r="AW1454" s="104" t="str">
        <f>HYPERLINK("http://www.openstreetmap.org/?mlat=35.7467&amp;mlon=43.2825&amp;zoom=12#map=12/35.7467/43.2825","Maplink1")</f>
        <v>Maplink1</v>
      </c>
      <c r="AX1454" s="104" t="str">
        <f>HYPERLINK("https://www.google.iq/maps/search/+35.7467,43.2825/@35.7467,43.2825,14z?hl=en","Maplink2")</f>
        <v>Maplink2</v>
      </c>
      <c r="AY1454" s="104" t="str">
        <f>HYPERLINK("http://www.bing.com/maps/?lvl=14&amp;sty=h&amp;cp=35.7467~43.2825&amp;sp=point.35.7467_43.2825","Maplink3")</f>
        <v>Maplink3</v>
      </c>
    </row>
    <row r="1455" spans="1:51" x14ac:dyDescent="0.2">
      <c r="A1455" s="102">
        <v>31733</v>
      </c>
      <c r="B1455" s="103" t="s">
        <v>35</v>
      </c>
      <c r="C1455" s="103" t="s">
        <v>102</v>
      </c>
      <c r="D1455" s="103" t="s">
        <v>2617</v>
      </c>
      <c r="E1455" s="103" t="s">
        <v>2618</v>
      </c>
      <c r="F1455" s="103">
        <v>35.925224262199997</v>
      </c>
      <c r="G1455" s="103">
        <v>43.320195323100002</v>
      </c>
      <c r="H1455" s="102">
        <v>240</v>
      </c>
      <c r="I1455" s="102">
        <v>1440</v>
      </c>
      <c r="J1455" s="103"/>
      <c r="K1455" s="103"/>
      <c r="L1455" s="103"/>
      <c r="M1455" s="103">
        <v>240</v>
      </c>
      <c r="N1455" s="103"/>
      <c r="O1455" s="103"/>
      <c r="P1455" s="103"/>
      <c r="Q1455" s="103"/>
      <c r="R1455" s="103"/>
      <c r="S1455" s="103"/>
      <c r="T1455" s="103"/>
      <c r="U1455" s="103"/>
      <c r="V1455" s="103"/>
      <c r="W1455" s="103"/>
      <c r="X1455" s="103"/>
      <c r="Y1455" s="103"/>
      <c r="Z1455" s="103"/>
      <c r="AA1455" s="103"/>
      <c r="AB1455" s="103"/>
      <c r="AC1455" s="103"/>
      <c r="AD1455" s="103"/>
      <c r="AE1455" s="103"/>
      <c r="AF1455" s="103"/>
      <c r="AG1455" s="103">
        <v>240</v>
      </c>
      <c r="AH1455" s="103"/>
      <c r="AI1455" s="103"/>
      <c r="AJ1455" s="103"/>
      <c r="AK1455" s="103"/>
      <c r="AL1455" s="103"/>
      <c r="AM1455" s="103"/>
      <c r="AN1455" s="103"/>
      <c r="AO1455" s="103"/>
      <c r="AP1455" s="103"/>
      <c r="AQ1455" s="103"/>
      <c r="AR1455" s="103"/>
      <c r="AS1455" s="103">
        <v>240</v>
      </c>
      <c r="AT1455" s="103"/>
      <c r="AU1455" s="103"/>
      <c r="AV1455" s="103"/>
      <c r="AW1455" s="104" t="str">
        <f>HYPERLINK("http://www.openstreetmap.org/?mlat=35.9252&amp;mlon=43.3202&amp;zoom=12#map=12/35.9252/43.3202","Maplink1")</f>
        <v>Maplink1</v>
      </c>
      <c r="AX1455" s="104" t="str">
        <f>HYPERLINK("https://www.google.iq/maps/search/+35.9252,43.3202/@35.9252,43.3202,14z?hl=en","Maplink2")</f>
        <v>Maplink2</v>
      </c>
      <c r="AY1455" s="104" t="str">
        <f>HYPERLINK("http://www.bing.com/maps/?lvl=14&amp;sty=h&amp;cp=35.9252~43.3202&amp;sp=point.35.9252_43.3202","Maplink3")</f>
        <v>Maplink3</v>
      </c>
    </row>
    <row r="1456" spans="1:51" x14ac:dyDescent="0.2">
      <c r="A1456" s="102">
        <v>31921</v>
      </c>
      <c r="B1456" s="103" t="s">
        <v>35</v>
      </c>
      <c r="C1456" s="103" t="s">
        <v>102</v>
      </c>
      <c r="D1456" s="103" t="s">
        <v>2619</v>
      </c>
      <c r="E1456" s="103" t="s">
        <v>2620</v>
      </c>
      <c r="F1456" s="103">
        <v>36.377004444800001</v>
      </c>
      <c r="G1456" s="103">
        <v>43.168104316600001</v>
      </c>
      <c r="H1456" s="102">
        <v>550</v>
      </c>
      <c r="I1456" s="102">
        <v>3300</v>
      </c>
      <c r="J1456" s="103"/>
      <c r="K1456" s="103"/>
      <c r="L1456" s="103"/>
      <c r="M1456" s="103">
        <v>550</v>
      </c>
      <c r="N1456" s="103"/>
      <c r="O1456" s="103"/>
      <c r="P1456" s="103"/>
      <c r="Q1456" s="103"/>
      <c r="R1456" s="103"/>
      <c r="S1456" s="103"/>
      <c r="T1456" s="103"/>
      <c r="U1456" s="103"/>
      <c r="V1456" s="103"/>
      <c r="W1456" s="103">
        <v>9</v>
      </c>
      <c r="X1456" s="103"/>
      <c r="Y1456" s="103">
        <v>25</v>
      </c>
      <c r="Z1456" s="103"/>
      <c r="AA1456" s="103">
        <v>39</v>
      </c>
      <c r="AB1456" s="103"/>
      <c r="AC1456" s="103"/>
      <c r="AD1456" s="103"/>
      <c r="AE1456" s="103"/>
      <c r="AF1456" s="103"/>
      <c r="AG1456" s="103">
        <v>477</v>
      </c>
      <c r="AH1456" s="103"/>
      <c r="AI1456" s="103"/>
      <c r="AJ1456" s="103"/>
      <c r="AK1456" s="103"/>
      <c r="AL1456" s="103"/>
      <c r="AM1456" s="103"/>
      <c r="AN1456" s="103">
        <v>73</v>
      </c>
      <c r="AO1456" s="103"/>
      <c r="AP1456" s="103"/>
      <c r="AQ1456" s="103"/>
      <c r="AR1456" s="103"/>
      <c r="AS1456" s="103">
        <v>477</v>
      </c>
      <c r="AT1456" s="103"/>
      <c r="AU1456" s="103"/>
      <c r="AV1456" s="103"/>
      <c r="AW1456" s="104" t="str">
        <f>HYPERLINK("http://www.openstreetmap.org/?mlat=36.377&amp;mlon=43.1681&amp;zoom=12#map=12/36.377/43.1681","Maplink1")</f>
        <v>Maplink1</v>
      </c>
      <c r="AX1456" s="104" t="str">
        <f>HYPERLINK("https://www.google.iq/maps/search/+36.377,43.1681/@36.377,43.1681,14z?hl=en","Maplink2")</f>
        <v>Maplink2</v>
      </c>
      <c r="AY1456" s="104" t="str">
        <f>HYPERLINK("http://www.bing.com/maps/?lvl=14&amp;sty=h&amp;cp=36.377~43.1681&amp;sp=point.36.377_43.1681","Maplink3")</f>
        <v>Maplink3</v>
      </c>
    </row>
    <row r="1457" spans="1:51" x14ac:dyDescent="0.2">
      <c r="A1457" s="102">
        <v>18331</v>
      </c>
      <c r="B1457" s="103" t="s">
        <v>35</v>
      </c>
      <c r="C1457" s="103" t="s">
        <v>102</v>
      </c>
      <c r="D1457" s="103" t="s">
        <v>2888</v>
      </c>
      <c r="E1457" s="103" t="s">
        <v>2889</v>
      </c>
      <c r="F1457" s="103">
        <v>36.3944150409</v>
      </c>
      <c r="G1457" s="103">
        <v>43.151437842699998</v>
      </c>
      <c r="H1457" s="102">
        <v>403</v>
      </c>
      <c r="I1457" s="102">
        <v>2418</v>
      </c>
      <c r="J1457" s="103"/>
      <c r="K1457" s="103"/>
      <c r="L1457" s="103"/>
      <c r="M1457" s="103">
        <v>403</v>
      </c>
      <c r="N1457" s="103"/>
      <c r="O1457" s="103"/>
      <c r="P1457" s="103"/>
      <c r="Q1457" s="103"/>
      <c r="R1457" s="103"/>
      <c r="S1457" s="103"/>
      <c r="T1457" s="103"/>
      <c r="U1457" s="103"/>
      <c r="V1457" s="103"/>
      <c r="W1457" s="103">
        <v>133</v>
      </c>
      <c r="X1457" s="103"/>
      <c r="Y1457" s="103">
        <v>62</v>
      </c>
      <c r="Z1457" s="103"/>
      <c r="AA1457" s="103">
        <v>170</v>
      </c>
      <c r="AB1457" s="103">
        <v>1</v>
      </c>
      <c r="AC1457" s="103"/>
      <c r="AD1457" s="103"/>
      <c r="AE1457" s="103"/>
      <c r="AF1457" s="103"/>
      <c r="AG1457" s="103">
        <v>37</v>
      </c>
      <c r="AH1457" s="103"/>
      <c r="AI1457" s="103"/>
      <c r="AJ1457" s="103"/>
      <c r="AK1457" s="103"/>
      <c r="AL1457" s="103"/>
      <c r="AM1457" s="103"/>
      <c r="AN1457" s="103">
        <v>366</v>
      </c>
      <c r="AO1457" s="103"/>
      <c r="AP1457" s="103"/>
      <c r="AQ1457" s="103"/>
      <c r="AR1457" s="103"/>
      <c r="AS1457" s="103">
        <v>37</v>
      </c>
      <c r="AT1457" s="103"/>
      <c r="AU1457" s="103"/>
      <c r="AV1457" s="103"/>
      <c r="AW1457" s="104" t="str">
        <f>HYPERLINK("http://www.openstreetmap.org/?mlat=36.3944&amp;mlon=43.1514&amp;zoom=12#map=12/36.3944/43.1514","Maplink1")</f>
        <v>Maplink1</v>
      </c>
      <c r="AX1457" s="104" t="str">
        <f>HYPERLINK("https://www.google.iq/maps/search/+36.3944,43.1514/@36.3944,43.1514,14z?hl=en","Maplink2")</f>
        <v>Maplink2</v>
      </c>
      <c r="AY1457" s="104" t="str">
        <f>HYPERLINK("http://www.bing.com/maps/?lvl=14&amp;sty=h&amp;cp=36.3944~43.1514&amp;sp=point.36.3944_43.1514","Maplink3")</f>
        <v>Maplink3</v>
      </c>
    </row>
    <row r="1458" spans="1:51" x14ac:dyDescent="0.2">
      <c r="A1458" s="102">
        <v>21647</v>
      </c>
      <c r="B1458" s="103" t="s">
        <v>35</v>
      </c>
      <c r="C1458" s="103" t="s">
        <v>102</v>
      </c>
      <c r="D1458" s="103" t="s">
        <v>2890</v>
      </c>
      <c r="E1458" s="103" t="s">
        <v>2891</v>
      </c>
      <c r="F1458" s="103">
        <v>36.383555315000002</v>
      </c>
      <c r="G1458" s="103">
        <v>43.208395911499998</v>
      </c>
      <c r="H1458" s="102">
        <v>1785</v>
      </c>
      <c r="I1458" s="102">
        <v>10710</v>
      </c>
      <c r="J1458" s="103"/>
      <c r="K1458" s="103"/>
      <c r="L1458" s="103"/>
      <c r="M1458" s="103">
        <v>1785</v>
      </c>
      <c r="N1458" s="103"/>
      <c r="O1458" s="103"/>
      <c r="P1458" s="103"/>
      <c r="Q1458" s="103"/>
      <c r="R1458" s="103"/>
      <c r="S1458" s="103"/>
      <c r="T1458" s="103"/>
      <c r="U1458" s="103"/>
      <c r="V1458" s="103"/>
      <c r="W1458" s="103">
        <v>102</v>
      </c>
      <c r="X1458" s="103"/>
      <c r="Y1458" s="103">
        <v>38</v>
      </c>
      <c r="Z1458" s="103"/>
      <c r="AA1458" s="103">
        <v>73</v>
      </c>
      <c r="AB1458" s="103"/>
      <c r="AC1458" s="103"/>
      <c r="AD1458" s="103"/>
      <c r="AE1458" s="103"/>
      <c r="AF1458" s="103"/>
      <c r="AG1458" s="103">
        <v>1572</v>
      </c>
      <c r="AH1458" s="103"/>
      <c r="AI1458" s="103"/>
      <c r="AJ1458" s="103"/>
      <c r="AK1458" s="103"/>
      <c r="AL1458" s="103"/>
      <c r="AM1458" s="103"/>
      <c r="AN1458" s="103">
        <v>213</v>
      </c>
      <c r="AO1458" s="103"/>
      <c r="AP1458" s="103"/>
      <c r="AQ1458" s="103"/>
      <c r="AR1458" s="103"/>
      <c r="AS1458" s="103">
        <v>1572</v>
      </c>
      <c r="AT1458" s="103"/>
      <c r="AU1458" s="103"/>
      <c r="AV1458" s="103"/>
      <c r="AW1458" s="104" t="str">
        <f>HYPERLINK("http://www.openstreetmap.org/?mlat=36.3836&amp;mlon=43.2084&amp;zoom=12#map=12/36.3836/43.2084","Maplink1")</f>
        <v>Maplink1</v>
      </c>
      <c r="AX1458" s="104" t="str">
        <f>HYPERLINK("https://www.google.iq/maps/search/+36.3836,43.2084/@36.3836,43.2084,14z?hl=en","Maplink2")</f>
        <v>Maplink2</v>
      </c>
      <c r="AY1458" s="104" t="str">
        <f>HYPERLINK("http://www.bing.com/maps/?lvl=14&amp;sty=h&amp;cp=36.3836~43.2084&amp;sp=point.36.3836_43.2084","Maplink3")</f>
        <v>Maplink3</v>
      </c>
    </row>
    <row r="1459" spans="1:51" x14ac:dyDescent="0.2">
      <c r="A1459" s="102">
        <v>22651</v>
      </c>
      <c r="B1459" s="103" t="s">
        <v>35</v>
      </c>
      <c r="C1459" s="103" t="s">
        <v>102</v>
      </c>
      <c r="D1459" s="103" t="s">
        <v>2892</v>
      </c>
      <c r="E1459" s="103" t="s">
        <v>2893</v>
      </c>
      <c r="F1459" s="103">
        <v>36.397342634700003</v>
      </c>
      <c r="G1459" s="103">
        <v>43.284537007799997</v>
      </c>
      <c r="H1459" s="102">
        <v>202</v>
      </c>
      <c r="I1459" s="102">
        <v>1212</v>
      </c>
      <c r="J1459" s="103"/>
      <c r="K1459" s="103"/>
      <c r="L1459" s="103"/>
      <c r="M1459" s="103">
        <v>202</v>
      </c>
      <c r="N1459" s="103"/>
      <c r="O1459" s="103"/>
      <c r="P1459" s="103"/>
      <c r="Q1459" s="103"/>
      <c r="R1459" s="103"/>
      <c r="S1459" s="103"/>
      <c r="T1459" s="103"/>
      <c r="U1459" s="103"/>
      <c r="V1459" s="103">
        <v>4</v>
      </c>
      <c r="W1459" s="103">
        <v>8</v>
      </c>
      <c r="X1459" s="103"/>
      <c r="Y1459" s="103">
        <v>15</v>
      </c>
      <c r="Z1459" s="103"/>
      <c r="AA1459" s="103">
        <v>106</v>
      </c>
      <c r="AB1459" s="103">
        <v>20</v>
      </c>
      <c r="AC1459" s="103"/>
      <c r="AD1459" s="103"/>
      <c r="AE1459" s="103"/>
      <c r="AF1459" s="103"/>
      <c r="AG1459" s="103">
        <v>33</v>
      </c>
      <c r="AH1459" s="103">
        <v>5</v>
      </c>
      <c r="AI1459" s="103"/>
      <c r="AJ1459" s="103">
        <v>2</v>
      </c>
      <c r="AK1459" s="103"/>
      <c r="AL1459" s="103">
        <v>9</v>
      </c>
      <c r="AM1459" s="103"/>
      <c r="AN1459" s="103"/>
      <c r="AO1459" s="103">
        <v>202</v>
      </c>
      <c r="AP1459" s="103"/>
      <c r="AQ1459" s="103"/>
      <c r="AR1459" s="103"/>
      <c r="AS1459" s="103"/>
      <c r="AT1459" s="103"/>
      <c r="AU1459" s="103"/>
      <c r="AV1459" s="103"/>
      <c r="AW1459" s="104" t="str">
        <f>HYPERLINK("http://www.openstreetmap.org/?mlat=36.3973&amp;mlon=43.2845&amp;zoom=12#map=12/36.3973/43.2845","Maplink1")</f>
        <v>Maplink1</v>
      </c>
      <c r="AX1459" s="104" t="str">
        <f>HYPERLINK("https://www.google.iq/maps/search/+36.3973,43.2845/@36.3973,43.2845,14z?hl=en","Maplink2")</f>
        <v>Maplink2</v>
      </c>
      <c r="AY1459" s="104" t="str">
        <f>HYPERLINK("http://www.bing.com/maps/?lvl=14&amp;sty=h&amp;cp=36.3973~43.2845&amp;sp=point.36.3973_43.2845","Maplink3")</f>
        <v>Maplink3</v>
      </c>
    </row>
    <row r="1460" spans="1:51" x14ac:dyDescent="0.2">
      <c r="A1460" s="102">
        <v>29649</v>
      </c>
      <c r="B1460" s="103" t="s">
        <v>35</v>
      </c>
      <c r="C1460" s="103" t="s">
        <v>102</v>
      </c>
      <c r="D1460" s="103" t="s">
        <v>2894</v>
      </c>
      <c r="E1460" s="103" t="s">
        <v>2895</v>
      </c>
      <c r="F1460" s="103">
        <v>35.852786405899998</v>
      </c>
      <c r="G1460" s="103">
        <v>43.296585181300003</v>
      </c>
      <c r="H1460" s="102">
        <v>198</v>
      </c>
      <c r="I1460" s="102">
        <v>1188</v>
      </c>
      <c r="J1460" s="103"/>
      <c r="K1460" s="103"/>
      <c r="L1460" s="103"/>
      <c r="M1460" s="103">
        <v>168</v>
      </c>
      <c r="N1460" s="103">
        <v>30</v>
      </c>
      <c r="O1460" s="103"/>
      <c r="P1460" s="103"/>
      <c r="Q1460" s="103"/>
      <c r="R1460" s="103"/>
      <c r="S1460" s="103"/>
      <c r="T1460" s="103"/>
      <c r="U1460" s="103"/>
      <c r="V1460" s="103"/>
      <c r="W1460" s="103">
        <v>28</v>
      </c>
      <c r="X1460" s="103"/>
      <c r="Y1460" s="103"/>
      <c r="Z1460" s="103"/>
      <c r="AA1460" s="103">
        <v>17</v>
      </c>
      <c r="AB1460" s="103"/>
      <c r="AC1460" s="103">
        <v>56</v>
      </c>
      <c r="AD1460" s="103"/>
      <c r="AE1460" s="103"/>
      <c r="AF1460" s="103"/>
      <c r="AG1460" s="103">
        <v>90</v>
      </c>
      <c r="AH1460" s="103"/>
      <c r="AI1460" s="103">
        <v>7</v>
      </c>
      <c r="AJ1460" s="103"/>
      <c r="AK1460" s="103"/>
      <c r="AL1460" s="103"/>
      <c r="AM1460" s="103"/>
      <c r="AN1460" s="103"/>
      <c r="AO1460" s="103">
        <v>15</v>
      </c>
      <c r="AP1460" s="103"/>
      <c r="AQ1460" s="103">
        <v>74</v>
      </c>
      <c r="AR1460" s="103">
        <v>50</v>
      </c>
      <c r="AS1460" s="103">
        <v>59</v>
      </c>
      <c r="AT1460" s="103"/>
      <c r="AU1460" s="103"/>
      <c r="AV1460" s="103"/>
      <c r="AW1460" s="104" t="str">
        <f>HYPERLINK("http://www.openstreetmap.org/?mlat=35.8528&amp;mlon=43.2966&amp;zoom=12#map=12/35.8528/43.2966","Maplink1")</f>
        <v>Maplink1</v>
      </c>
      <c r="AX1460" s="104" t="str">
        <f>HYPERLINK("https://www.google.iq/maps/search/+35.8528,43.2966/@35.8528,43.2966,14z?hl=en","Maplink2")</f>
        <v>Maplink2</v>
      </c>
      <c r="AY1460" s="104" t="str">
        <f>HYPERLINK("http://www.bing.com/maps/?lvl=14&amp;sty=h&amp;cp=35.8528~43.2966&amp;sp=point.35.8528_43.2966","Maplink3")</f>
        <v>Maplink3</v>
      </c>
    </row>
    <row r="1461" spans="1:51" x14ac:dyDescent="0.2">
      <c r="A1461" s="102">
        <v>17992</v>
      </c>
      <c r="B1461" s="103" t="s">
        <v>35</v>
      </c>
      <c r="C1461" s="103" t="s">
        <v>102</v>
      </c>
      <c r="D1461" s="103" t="s">
        <v>2896</v>
      </c>
      <c r="E1461" s="103" t="s">
        <v>2897</v>
      </c>
      <c r="F1461" s="103">
        <v>35.9456312557</v>
      </c>
      <c r="G1461" s="103">
        <v>43.317037658700002</v>
      </c>
      <c r="H1461" s="102">
        <v>283</v>
      </c>
      <c r="I1461" s="102">
        <v>1698</v>
      </c>
      <c r="J1461" s="103"/>
      <c r="K1461" s="103"/>
      <c r="L1461" s="103"/>
      <c r="M1461" s="103">
        <v>280</v>
      </c>
      <c r="N1461" s="103">
        <v>3</v>
      </c>
      <c r="O1461" s="103"/>
      <c r="P1461" s="103"/>
      <c r="Q1461" s="103"/>
      <c r="R1461" s="103"/>
      <c r="S1461" s="103"/>
      <c r="T1461" s="103"/>
      <c r="U1461" s="103"/>
      <c r="V1461" s="103"/>
      <c r="W1461" s="103"/>
      <c r="X1461" s="103"/>
      <c r="Y1461" s="103"/>
      <c r="Z1461" s="103"/>
      <c r="AA1461" s="103">
        <v>20</v>
      </c>
      <c r="AB1461" s="103"/>
      <c r="AC1461" s="103">
        <v>3</v>
      </c>
      <c r="AD1461" s="103"/>
      <c r="AE1461" s="103"/>
      <c r="AF1461" s="103"/>
      <c r="AG1461" s="103">
        <v>260</v>
      </c>
      <c r="AH1461" s="103"/>
      <c r="AI1461" s="103"/>
      <c r="AJ1461" s="103"/>
      <c r="AK1461" s="103"/>
      <c r="AL1461" s="103"/>
      <c r="AM1461" s="103"/>
      <c r="AN1461" s="103"/>
      <c r="AO1461" s="103">
        <v>4</v>
      </c>
      <c r="AP1461" s="103">
        <v>9</v>
      </c>
      <c r="AQ1461" s="103">
        <v>6</v>
      </c>
      <c r="AR1461" s="103">
        <v>262</v>
      </c>
      <c r="AS1461" s="103">
        <v>2</v>
      </c>
      <c r="AT1461" s="103"/>
      <c r="AU1461" s="103"/>
      <c r="AV1461" s="103"/>
      <c r="AW1461" s="104" t="str">
        <f>HYPERLINK("http://www.openstreetmap.org/?mlat=35.9456&amp;mlon=43.317&amp;zoom=12#map=12/35.9456/43.317","Maplink1")</f>
        <v>Maplink1</v>
      </c>
      <c r="AX1461" s="104" t="str">
        <f>HYPERLINK("https://www.google.iq/maps/search/+35.9456,43.317/@35.9456,43.317,14z?hl=en","Maplink2")</f>
        <v>Maplink2</v>
      </c>
      <c r="AY1461" s="104" t="str">
        <f>HYPERLINK("http://www.bing.com/maps/?lvl=14&amp;sty=h&amp;cp=35.9456~43.317&amp;sp=point.35.9456_43.317","Maplink3")</f>
        <v>Maplink3</v>
      </c>
    </row>
    <row r="1462" spans="1:51" x14ac:dyDescent="0.2">
      <c r="A1462" s="102">
        <v>31736</v>
      </c>
      <c r="B1462" s="103" t="s">
        <v>35</v>
      </c>
      <c r="C1462" s="103" t="s">
        <v>102</v>
      </c>
      <c r="D1462" s="103" t="s">
        <v>2898</v>
      </c>
      <c r="E1462" s="103" t="s">
        <v>2899</v>
      </c>
      <c r="F1462" s="103">
        <v>35.942725416599998</v>
      </c>
      <c r="G1462" s="103">
        <v>43.314564752700001</v>
      </c>
      <c r="H1462" s="102">
        <v>130</v>
      </c>
      <c r="I1462" s="102">
        <v>780</v>
      </c>
      <c r="J1462" s="103"/>
      <c r="K1462" s="103"/>
      <c r="L1462" s="103"/>
      <c r="M1462" s="103">
        <v>130</v>
      </c>
      <c r="N1462" s="103"/>
      <c r="O1462" s="103"/>
      <c r="P1462" s="103"/>
      <c r="Q1462" s="103"/>
      <c r="R1462" s="103"/>
      <c r="S1462" s="103"/>
      <c r="T1462" s="103"/>
      <c r="U1462" s="103"/>
      <c r="V1462" s="103"/>
      <c r="W1462" s="103"/>
      <c r="X1462" s="103"/>
      <c r="Y1462" s="103"/>
      <c r="Z1462" s="103"/>
      <c r="AA1462" s="103"/>
      <c r="AB1462" s="103"/>
      <c r="AC1462" s="103"/>
      <c r="AD1462" s="103"/>
      <c r="AE1462" s="103"/>
      <c r="AF1462" s="103"/>
      <c r="AG1462" s="103">
        <v>130</v>
      </c>
      <c r="AH1462" s="103"/>
      <c r="AI1462" s="103"/>
      <c r="AJ1462" s="103"/>
      <c r="AK1462" s="103"/>
      <c r="AL1462" s="103"/>
      <c r="AM1462" s="103"/>
      <c r="AN1462" s="103"/>
      <c r="AO1462" s="103"/>
      <c r="AP1462" s="103"/>
      <c r="AQ1462" s="103"/>
      <c r="AR1462" s="103"/>
      <c r="AS1462" s="103">
        <v>130</v>
      </c>
      <c r="AT1462" s="103"/>
      <c r="AU1462" s="103"/>
      <c r="AV1462" s="103"/>
      <c r="AW1462" s="104" t="str">
        <f>HYPERLINK("http://www.openstreetmap.org/?mlat=35.9427&amp;mlon=43.3146&amp;zoom=12#map=12/35.9427/43.3146","Maplink1")</f>
        <v>Maplink1</v>
      </c>
      <c r="AX1462" s="104" t="str">
        <f>HYPERLINK("https://www.google.iq/maps/search/+35.9427,43.3146/@35.9427,43.3146,14z?hl=en","Maplink2")</f>
        <v>Maplink2</v>
      </c>
      <c r="AY1462" s="104" t="str">
        <f>HYPERLINK("http://www.bing.com/maps/?lvl=14&amp;sty=h&amp;cp=35.9427~43.3146&amp;sp=point.35.9427_43.3146","Maplink3")</f>
        <v>Maplink3</v>
      </c>
    </row>
    <row r="1463" spans="1:51" x14ac:dyDescent="0.2">
      <c r="A1463" s="102">
        <v>31918</v>
      </c>
      <c r="B1463" s="103" t="s">
        <v>35</v>
      </c>
      <c r="C1463" s="103" t="s">
        <v>102</v>
      </c>
      <c r="D1463" s="103" t="s">
        <v>2900</v>
      </c>
      <c r="E1463" s="103" t="s">
        <v>2901</v>
      </c>
      <c r="F1463" s="103">
        <v>36.397899178800003</v>
      </c>
      <c r="G1463" s="103">
        <v>43.195342179199997</v>
      </c>
      <c r="H1463" s="102">
        <v>6</v>
      </c>
      <c r="I1463" s="102">
        <v>36</v>
      </c>
      <c r="J1463" s="103"/>
      <c r="K1463" s="103"/>
      <c r="L1463" s="103"/>
      <c r="M1463" s="103">
        <v>6</v>
      </c>
      <c r="N1463" s="103"/>
      <c r="O1463" s="103"/>
      <c r="P1463" s="103"/>
      <c r="Q1463" s="103"/>
      <c r="R1463" s="103"/>
      <c r="S1463" s="103"/>
      <c r="T1463" s="103"/>
      <c r="U1463" s="103"/>
      <c r="V1463" s="103"/>
      <c r="W1463" s="103"/>
      <c r="X1463" s="103"/>
      <c r="Y1463" s="103"/>
      <c r="Z1463" s="103"/>
      <c r="AA1463" s="103"/>
      <c r="AB1463" s="103"/>
      <c r="AC1463" s="103"/>
      <c r="AD1463" s="103"/>
      <c r="AE1463" s="103"/>
      <c r="AF1463" s="103"/>
      <c r="AG1463" s="103">
        <v>6</v>
      </c>
      <c r="AH1463" s="103"/>
      <c r="AI1463" s="103"/>
      <c r="AJ1463" s="103"/>
      <c r="AK1463" s="103"/>
      <c r="AL1463" s="103"/>
      <c r="AM1463" s="103"/>
      <c r="AN1463" s="103"/>
      <c r="AO1463" s="103"/>
      <c r="AP1463" s="103"/>
      <c r="AQ1463" s="103"/>
      <c r="AR1463" s="103"/>
      <c r="AS1463" s="103">
        <v>6</v>
      </c>
      <c r="AT1463" s="103"/>
      <c r="AU1463" s="103"/>
      <c r="AV1463" s="103"/>
      <c r="AW1463" s="104" t="str">
        <f>HYPERLINK("http://www.openstreetmap.org/?mlat=36.3979&amp;mlon=43.1953&amp;zoom=12#map=12/36.3979/43.1953","Maplink1")</f>
        <v>Maplink1</v>
      </c>
      <c r="AX1463" s="104" t="str">
        <f>HYPERLINK("https://www.google.iq/maps/search/+36.3979,43.1953/@36.3979,43.1953,14z?hl=en","Maplink2")</f>
        <v>Maplink2</v>
      </c>
      <c r="AY1463" s="104" t="str">
        <f>HYPERLINK("http://www.bing.com/maps/?lvl=14&amp;sty=h&amp;cp=36.3979~43.1953&amp;sp=point.36.3979_43.1953","Maplink3")</f>
        <v>Maplink3</v>
      </c>
    </row>
    <row r="1464" spans="1:51" x14ac:dyDescent="0.2">
      <c r="A1464" s="102">
        <v>24204</v>
      </c>
      <c r="B1464" s="103" t="s">
        <v>35</v>
      </c>
      <c r="C1464" s="103" t="s">
        <v>102</v>
      </c>
      <c r="D1464" s="103" t="s">
        <v>2744</v>
      </c>
      <c r="E1464" s="103" t="s">
        <v>2745</v>
      </c>
      <c r="F1464" s="103">
        <v>36.511217606899997</v>
      </c>
      <c r="G1464" s="103">
        <v>43.267754085599996</v>
      </c>
      <c r="H1464" s="102">
        <v>270</v>
      </c>
      <c r="I1464" s="102">
        <v>1620</v>
      </c>
      <c r="J1464" s="103"/>
      <c r="K1464" s="103"/>
      <c r="L1464" s="103"/>
      <c r="M1464" s="103">
        <v>270</v>
      </c>
      <c r="N1464" s="103"/>
      <c r="O1464" s="103"/>
      <c r="P1464" s="103"/>
      <c r="Q1464" s="103"/>
      <c r="R1464" s="103"/>
      <c r="S1464" s="103"/>
      <c r="T1464" s="103"/>
      <c r="U1464" s="103"/>
      <c r="V1464" s="103"/>
      <c r="W1464" s="103"/>
      <c r="X1464" s="103"/>
      <c r="Y1464" s="103"/>
      <c r="Z1464" s="103"/>
      <c r="AA1464" s="103">
        <v>10</v>
      </c>
      <c r="AB1464" s="103"/>
      <c r="AC1464" s="103"/>
      <c r="AD1464" s="103"/>
      <c r="AE1464" s="103"/>
      <c r="AF1464" s="103"/>
      <c r="AG1464" s="103">
        <v>260</v>
      </c>
      <c r="AH1464" s="103"/>
      <c r="AI1464" s="103"/>
      <c r="AJ1464" s="103"/>
      <c r="AK1464" s="103"/>
      <c r="AL1464" s="103"/>
      <c r="AM1464" s="103"/>
      <c r="AN1464" s="103"/>
      <c r="AO1464" s="103">
        <v>270</v>
      </c>
      <c r="AP1464" s="103"/>
      <c r="AQ1464" s="103"/>
      <c r="AR1464" s="103"/>
      <c r="AS1464" s="103"/>
      <c r="AT1464" s="103"/>
      <c r="AU1464" s="103"/>
      <c r="AV1464" s="103"/>
      <c r="AW1464" s="104" t="str">
        <f>HYPERLINK("http://www.openstreetmap.org/?mlat=36.5112&amp;mlon=43.2678&amp;zoom=12#map=12/36.5112/43.2678","Maplink1")</f>
        <v>Maplink1</v>
      </c>
      <c r="AX1464" s="104" t="str">
        <f>HYPERLINK("https://www.google.iq/maps/search/+36.5112,43.2678/@36.5112,43.2678,14z?hl=en","Maplink2")</f>
        <v>Maplink2</v>
      </c>
      <c r="AY1464" s="104" t="str">
        <f>HYPERLINK("http://www.bing.com/maps/?lvl=14&amp;sty=h&amp;cp=36.5112~43.2678&amp;sp=point.36.5112_43.2678","Maplink3")</f>
        <v>Maplink3</v>
      </c>
    </row>
    <row r="1465" spans="1:51" x14ac:dyDescent="0.2">
      <c r="A1465" s="102">
        <v>23875</v>
      </c>
      <c r="B1465" s="103" t="s">
        <v>35</v>
      </c>
      <c r="C1465" s="103" t="s">
        <v>102</v>
      </c>
      <c r="D1465" s="103" t="s">
        <v>2746</v>
      </c>
      <c r="E1465" s="103" t="s">
        <v>545</v>
      </c>
      <c r="F1465" s="103">
        <v>36.348995620799997</v>
      </c>
      <c r="G1465" s="103">
        <v>43.225553476800002</v>
      </c>
      <c r="H1465" s="102">
        <v>1900</v>
      </c>
      <c r="I1465" s="102">
        <v>11400</v>
      </c>
      <c r="J1465" s="103"/>
      <c r="K1465" s="103"/>
      <c r="L1465" s="103"/>
      <c r="M1465" s="103">
        <v>1900</v>
      </c>
      <c r="N1465" s="103"/>
      <c r="O1465" s="103"/>
      <c r="P1465" s="103"/>
      <c r="Q1465" s="103"/>
      <c r="R1465" s="103"/>
      <c r="S1465" s="103"/>
      <c r="T1465" s="103"/>
      <c r="U1465" s="103"/>
      <c r="V1465" s="103"/>
      <c r="W1465" s="103">
        <v>119</v>
      </c>
      <c r="X1465" s="103"/>
      <c r="Y1465" s="103">
        <v>44</v>
      </c>
      <c r="Z1465" s="103"/>
      <c r="AA1465" s="103">
        <v>56</v>
      </c>
      <c r="AB1465" s="103"/>
      <c r="AC1465" s="103">
        <v>2</v>
      </c>
      <c r="AD1465" s="103"/>
      <c r="AE1465" s="103"/>
      <c r="AF1465" s="103"/>
      <c r="AG1465" s="103">
        <v>1679</v>
      </c>
      <c r="AH1465" s="103"/>
      <c r="AI1465" s="103"/>
      <c r="AJ1465" s="103"/>
      <c r="AK1465" s="103"/>
      <c r="AL1465" s="103"/>
      <c r="AM1465" s="103"/>
      <c r="AN1465" s="103">
        <v>221</v>
      </c>
      <c r="AO1465" s="103"/>
      <c r="AP1465" s="103"/>
      <c r="AQ1465" s="103"/>
      <c r="AR1465" s="103"/>
      <c r="AS1465" s="103">
        <v>1679</v>
      </c>
      <c r="AT1465" s="103"/>
      <c r="AU1465" s="103"/>
      <c r="AV1465" s="103"/>
      <c r="AW1465" s="104" t="str">
        <f>HYPERLINK("http://www.openstreetmap.org/?mlat=36.349&amp;mlon=43.2256&amp;zoom=12#map=12/36.349/43.2256","Maplink1")</f>
        <v>Maplink1</v>
      </c>
      <c r="AX1465" s="104" t="str">
        <f>HYPERLINK("https://www.google.iq/maps/search/+36.349,43.2256/@36.349,43.2256,14z?hl=en","Maplink2")</f>
        <v>Maplink2</v>
      </c>
      <c r="AY1465" s="104" t="str">
        <f>HYPERLINK("http://www.bing.com/maps/?lvl=14&amp;sty=h&amp;cp=36.349~43.2256&amp;sp=point.36.349_43.2256","Maplink3")</f>
        <v>Maplink3</v>
      </c>
    </row>
    <row r="1466" spans="1:51" x14ac:dyDescent="0.2">
      <c r="A1466" s="102">
        <v>21332</v>
      </c>
      <c r="B1466" s="103" t="s">
        <v>35</v>
      </c>
      <c r="C1466" s="103" t="s">
        <v>102</v>
      </c>
      <c r="D1466" s="103" t="s">
        <v>2747</v>
      </c>
      <c r="E1466" s="103" t="s">
        <v>2748</v>
      </c>
      <c r="F1466" s="103">
        <v>36.3075092256</v>
      </c>
      <c r="G1466" s="103">
        <v>43.191032901900002</v>
      </c>
      <c r="H1466" s="102">
        <v>171</v>
      </c>
      <c r="I1466" s="102">
        <v>1026</v>
      </c>
      <c r="J1466" s="103"/>
      <c r="K1466" s="103"/>
      <c r="L1466" s="103"/>
      <c r="M1466" s="103">
        <v>171</v>
      </c>
      <c r="N1466" s="103"/>
      <c r="O1466" s="103"/>
      <c r="P1466" s="103"/>
      <c r="Q1466" s="103"/>
      <c r="R1466" s="103"/>
      <c r="S1466" s="103"/>
      <c r="T1466" s="103"/>
      <c r="U1466" s="103"/>
      <c r="V1466" s="103"/>
      <c r="W1466" s="103">
        <v>11</v>
      </c>
      <c r="X1466" s="103"/>
      <c r="Y1466" s="103">
        <v>22</v>
      </c>
      <c r="Z1466" s="103"/>
      <c r="AA1466" s="103">
        <v>30</v>
      </c>
      <c r="AB1466" s="103"/>
      <c r="AC1466" s="103">
        <v>10</v>
      </c>
      <c r="AD1466" s="103"/>
      <c r="AE1466" s="103"/>
      <c r="AF1466" s="103"/>
      <c r="AG1466" s="103">
        <v>98</v>
      </c>
      <c r="AH1466" s="103"/>
      <c r="AI1466" s="103"/>
      <c r="AJ1466" s="103"/>
      <c r="AK1466" s="103"/>
      <c r="AL1466" s="103"/>
      <c r="AM1466" s="103"/>
      <c r="AN1466" s="103">
        <v>73</v>
      </c>
      <c r="AO1466" s="103"/>
      <c r="AP1466" s="103"/>
      <c r="AQ1466" s="103"/>
      <c r="AR1466" s="103"/>
      <c r="AS1466" s="103">
        <v>98</v>
      </c>
      <c r="AT1466" s="103"/>
      <c r="AU1466" s="103"/>
      <c r="AV1466" s="103"/>
      <c r="AW1466" s="104" t="str">
        <f>HYPERLINK("http://www.openstreetmap.org/?mlat=36.3075&amp;mlon=43.191&amp;zoom=12#map=12/36.3075/43.191","Maplink1")</f>
        <v>Maplink1</v>
      </c>
      <c r="AX1466" s="104" t="str">
        <f>HYPERLINK("https://www.google.iq/maps/search/+36.3075,43.191/@36.3075,43.191,14z?hl=en","Maplink2")</f>
        <v>Maplink2</v>
      </c>
      <c r="AY1466" s="104" t="str">
        <f>HYPERLINK("http://www.bing.com/maps/?lvl=14&amp;sty=h&amp;cp=36.3075~43.191&amp;sp=point.36.3075_43.191","Maplink3")</f>
        <v>Maplink3</v>
      </c>
    </row>
    <row r="1467" spans="1:51" x14ac:dyDescent="0.2">
      <c r="A1467" s="102">
        <v>18332</v>
      </c>
      <c r="B1467" s="103" t="s">
        <v>35</v>
      </c>
      <c r="C1467" s="103" t="s">
        <v>102</v>
      </c>
      <c r="D1467" s="103" t="s">
        <v>2749</v>
      </c>
      <c r="E1467" s="103" t="s">
        <v>2750</v>
      </c>
      <c r="F1467" s="103">
        <v>36.347534367100003</v>
      </c>
      <c r="G1467" s="103">
        <v>43.161804191400002</v>
      </c>
      <c r="H1467" s="102">
        <v>167</v>
      </c>
      <c r="I1467" s="102">
        <v>1002</v>
      </c>
      <c r="J1467" s="103"/>
      <c r="K1467" s="103"/>
      <c r="L1467" s="103"/>
      <c r="M1467" s="103">
        <v>167</v>
      </c>
      <c r="N1467" s="103"/>
      <c r="O1467" s="103"/>
      <c r="P1467" s="103"/>
      <c r="Q1467" s="103"/>
      <c r="R1467" s="103"/>
      <c r="S1467" s="103"/>
      <c r="T1467" s="103"/>
      <c r="U1467" s="103"/>
      <c r="V1467" s="103"/>
      <c r="W1467" s="103">
        <v>25</v>
      </c>
      <c r="X1467" s="103"/>
      <c r="Y1467" s="103">
        <v>32</v>
      </c>
      <c r="Z1467" s="103"/>
      <c r="AA1467" s="103">
        <v>57</v>
      </c>
      <c r="AB1467" s="103">
        <v>3</v>
      </c>
      <c r="AC1467" s="103">
        <v>2</v>
      </c>
      <c r="AD1467" s="103"/>
      <c r="AE1467" s="103"/>
      <c r="AF1467" s="103"/>
      <c r="AG1467" s="103">
        <v>48</v>
      </c>
      <c r="AH1467" s="103"/>
      <c r="AI1467" s="103"/>
      <c r="AJ1467" s="103"/>
      <c r="AK1467" s="103"/>
      <c r="AL1467" s="103"/>
      <c r="AM1467" s="103"/>
      <c r="AN1467" s="103">
        <v>119</v>
      </c>
      <c r="AO1467" s="103"/>
      <c r="AP1467" s="103"/>
      <c r="AQ1467" s="103"/>
      <c r="AR1467" s="103"/>
      <c r="AS1467" s="103">
        <v>48</v>
      </c>
      <c r="AT1467" s="103"/>
      <c r="AU1467" s="103"/>
      <c r="AV1467" s="103"/>
      <c r="AW1467" s="104" t="str">
        <f>HYPERLINK("http://www.openstreetmap.org/?mlat=36.3475&amp;mlon=43.1618&amp;zoom=12#map=12/36.3475/43.1618","Maplink1")</f>
        <v>Maplink1</v>
      </c>
      <c r="AX1467" s="104" t="str">
        <f>HYPERLINK("https://www.google.iq/maps/search/+36.3475,43.1618/@36.3475,43.1618,14z?hl=en","Maplink2")</f>
        <v>Maplink2</v>
      </c>
      <c r="AY1467" s="104" t="str">
        <f>HYPERLINK("http://www.bing.com/maps/?lvl=14&amp;sty=h&amp;cp=36.3475~43.1618&amp;sp=point.36.3475_43.1618","Maplink3")</f>
        <v>Maplink3</v>
      </c>
    </row>
    <row r="1468" spans="1:51" x14ac:dyDescent="0.2">
      <c r="A1468" s="102">
        <v>31771</v>
      </c>
      <c r="B1468" s="103" t="s">
        <v>35</v>
      </c>
      <c r="C1468" s="103" t="s">
        <v>102</v>
      </c>
      <c r="D1468" s="103" t="s">
        <v>2751</v>
      </c>
      <c r="E1468" s="103" t="s">
        <v>2752</v>
      </c>
      <c r="F1468" s="103">
        <v>36.2388883514</v>
      </c>
      <c r="G1468" s="103">
        <v>43.178232075300002</v>
      </c>
      <c r="H1468" s="102">
        <v>290</v>
      </c>
      <c r="I1468" s="102">
        <v>1740</v>
      </c>
      <c r="J1468" s="103"/>
      <c r="K1468" s="103"/>
      <c r="L1468" s="103"/>
      <c r="M1468" s="103">
        <v>285</v>
      </c>
      <c r="N1468" s="103">
        <v>5</v>
      </c>
      <c r="O1468" s="103"/>
      <c r="P1468" s="103"/>
      <c r="Q1468" s="103"/>
      <c r="R1468" s="103"/>
      <c r="S1468" s="103"/>
      <c r="T1468" s="103"/>
      <c r="U1468" s="103"/>
      <c r="V1468" s="103"/>
      <c r="W1468" s="103"/>
      <c r="X1468" s="103"/>
      <c r="Y1468" s="103"/>
      <c r="Z1468" s="103"/>
      <c r="AA1468" s="103"/>
      <c r="AB1468" s="103"/>
      <c r="AC1468" s="103"/>
      <c r="AD1468" s="103"/>
      <c r="AE1468" s="103"/>
      <c r="AF1468" s="103"/>
      <c r="AG1468" s="103">
        <v>290</v>
      </c>
      <c r="AH1468" s="103"/>
      <c r="AI1468" s="103"/>
      <c r="AJ1468" s="103"/>
      <c r="AK1468" s="103"/>
      <c r="AL1468" s="103"/>
      <c r="AM1468" s="103"/>
      <c r="AN1468" s="103"/>
      <c r="AO1468" s="103"/>
      <c r="AP1468" s="103"/>
      <c r="AQ1468" s="103"/>
      <c r="AR1468" s="103"/>
      <c r="AS1468" s="103">
        <v>290</v>
      </c>
      <c r="AT1468" s="103"/>
      <c r="AU1468" s="103"/>
      <c r="AV1468" s="103"/>
      <c r="AW1468" s="104" t="str">
        <f>HYPERLINK("http://www.openstreetmap.org/?mlat=36.2389&amp;mlon=43.1782&amp;zoom=12#map=12/36.2389/43.1782","Maplink1")</f>
        <v>Maplink1</v>
      </c>
      <c r="AX1468" s="104" t="str">
        <f>HYPERLINK("https://www.google.iq/maps/search/+36.2389,43.1782/@36.2389,43.1782,14z?hl=en","Maplink2")</f>
        <v>Maplink2</v>
      </c>
      <c r="AY1468" s="104" t="str">
        <f>HYPERLINK("http://www.bing.com/maps/?lvl=14&amp;sty=h&amp;cp=36.2389~43.1782&amp;sp=point.36.2389_43.1782","Maplink3")</f>
        <v>Maplink3</v>
      </c>
    </row>
    <row r="1469" spans="1:51" x14ac:dyDescent="0.2">
      <c r="A1469" s="102">
        <v>18361</v>
      </c>
      <c r="B1469" s="103" t="s">
        <v>35</v>
      </c>
      <c r="C1469" s="103" t="s">
        <v>102</v>
      </c>
      <c r="D1469" s="103" t="s">
        <v>2544</v>
      </c>
      <c r="E1469" s="103" t="s">
        <v>2545</v>
      </c>
      <c r="F1469" s="103">
        <v>36.356439871399999</v>
      </c>
      <c r="G1469" s="103">
        <v>43.167073293800001</v>
      </c>
      <c r="H1469" s="102">
        <v>482</v>
      </c>
      <c r="I1469" s="102">
        <v>2892</v>
      </c>
      <c r="J1469" s="103"/>
      <c r="K1469" s="103"/>
      <c r="L1469" s="103"/>
      <c r="M1469" s="103">
        <v>482</v>
      </c>
      <c r="N1469" s="103"/>
      <c r="O1469" s="103"/>
      <c r="P1469" s="103"/>
      <c r="Q1469" s="103"/>
      <c r="R1469" s="103"/>
      <c r="S1469" s="103"/>
      <c r="T1469" s="103"/>
      <c r="U1469" s="103"/>
      <c r="V1469" s="103"/>
      <c r="W1469" s="103">
        <v>43</v>
      </c>
      <c r="X1469" s="103"/>
      <c r="Y1469" s="103">
        <v>38</v>
      </c>
      <c r="Z1469" s="103"/>
      <c r="AA1469" s="103">
        <v>54</v>
      </c>
      <c r="AB1469" s="103">
        <v>49</v>
      </c>
      <c r="AC1469" s="103"/>
      <c r="AD1469" s="103"/>
      <c r="AE1469" s="103"/>
      <c r="AF1469" s="103"/>
      <c r="AG1469" s="103">
        <v>298</v>
      </c>
      <c r="AH1469" s="103"/>
      <c r="AI1469" s="103"/>
      <c r="AJ1469" s="103"/>
      <c r="AK1469" s="103"/>
      <c r="AL1469" s="103"/>
      <c r="AM1469" s="103"/>
      <c r="AN1469" s="103">
        <v>184</v>
      </c>
      <c r="AO1469" s="103"/>
      <c r="AP1469" s="103"/>
      <c r="AQ1469" s="103"/>
      <c r="AR1469" s="103"/>
      <c r="AS1469" s="103">
        <v>298</v>
      </c>
      <c r="AT1469" s="103"/>
      <c r="AU1469" s="103"/>
      <c r="AV1469" s="103"/>
      <c r="AW1469" s="104" t="str">
        <f>HYPERLINK("http://www.openstreetmap.org/?mlat=36.3564&amp;mlon=43.1671&amp;zoom=12#map=12/36.3564/43.1671","Maplink1")</f>
        <v>Maplink1</v>
      </c>
      <c r="AX1469" s="104" t="str">
        <f>HYPERLINK("https://www.google.iq/maps/search/+36.3564,43.1671/@36.3564,43.1671,14z?hl=en","Maplink2")</f>
        <v>Maplink2</v>
      </c>
      <c r="AY1469" s="104" t="str">
        <f>HYPERLINK("http://www.bing.com/maps/?lvl=14&amp;sty=h&amp;cp=36.3564~43.1671&amp;sp=point.36.3564_43.1671","Maplink3")</f>
        <v>Maplink3</v>
      </c>
    </row>
    <row r="1470" spans="1:51" x14ac:dyDescent="0.2">
      <c r="A1470" s="102">
        <v>18369</v>
      </c>
      <c r="B1470" s="103" t="s">
        <v>35</v>
      </c>
      <c r="C1470" s="103" t="s">
        <v>102</v>
      </c>
      <c r="D1470" s="103" t="s">
        <v>2546</v>
      </c>
      <c r="E1470" s="103" t="s">
        <v>533</v>
      </c>
      <c r="F1470" s="103">
        <v>36.356890786599998</v>
      </c>
      <c r="G1470" s="103">
        <v>43.222736803700002</v>
      </c>
      <c r="H1470" s="102">
        <v>817</v>
      </c>
      <c r="I1470" s="102">
        <v>4902</v>
      </c>
      <c r="J1470" s="103"/>
      <c r="K1470" s="103"/>
      <c r="L1470" s="103"/>
      <c r="M1470" s="103">
        <v>817</v>
      </c>
      <c r="N1470" s="103"/>
      <c r="O1470" s="103"/>
      <c r="P1470" s="103"/>
      <c r="Q1470" s="103"/>
      <c r="R1470" s="103"/>
      <c r="S1470" s="103"/>
      <c r="T1470" s="103"/>
      <c r="U1470" s="103"/>
      <c r="V1470" s="103"/>
      <c r="W1470" s="103">
        <v>16</v>
      </c>
      <c r="X1470" s="103"/>
      <c r="Y1470" s="103">
        <v>43</v>
      </c>
      <c r="Z1470" s="103"/>
      <c r="AA1470" s="103">
        <v>43</v>
      </c>
      <c r="AB1470" s="103"/>
      <c r="AC1470" s="103">
        <v>6</v>
      </c>
      <c r="AD1470" s="103"/>
      <c r="AE1470" s="103"/>
      <c r="AF1470" s="103"/>
      <c r="AG1470" s="103">
        <v>709</v>
      </c>
      <c r="AH1470" s="103"/>
      <c r="AI1470" s="103"/>
      <c r="AJ1470" s="103"/>
      <c r="AK1470" s="103"/>
      <c r="AL1470" s="103"/>
      <c r="AM1470" s="103"/>
      <c r="AN1470" s="103">
        <v>108</v>
      </c>
      <c r="AO1470" s="103"/>
      <c r="AP1470" s="103"/>
      <c r="AQ1470" s="103"/>
      <c r="AR1470" s="103"/>
      <c r="AS1470" s="103">
        <v>709</v>
      </c>
      <c r="AT1470" s="103"/>
      <c r="AU1470" s="103"/>
      <c r="AV1470" s="103"/>
      <c r="AW1470" s="104" t="str">
        <f>HYPERLINK("http://www.openstreetmap.org/?mlat=36.3569&amp;mlon=43.2227&amp;zoom=12#map=12/36.3569/43.2227","Maplink1")</f>
        <v>Maplink1</v>
      </c>
      <c r="AX1470" s="104" t="str">
        <f>HYPERLINK("https://www.google.iq/maps/search/+36.3569,43.2227/@36.3569,43.2227,14z?hl=en","Maplink2")</f>
        <v>Maplink2</v>
      </c>
      <c r="AY1470" s="104" t="str">
        <f>HYPERLINK("http://www.bing.com/maps/?lvl=14&amp;sty=h&amp;cp=36.3569~43.2227&amp;sp=point.36.3569_43.2227","Maplink3")</f>
        <v>Maplink3</v>
      </c>
    </row>
    <row r="1471" spans="1:51" x14ac:dyDescent="0.2">
      <c r="A1471" s="102">
        <v>24205</v>
      </c>
      <c r="B1471" s="103" t="s">
        <v>35</v>
      </c>
      <c r="C1471" s="103" t="s">
        <v>102</v>
      </c>
      <c r="D1471" s="103" t="s">
        <v>2547</v>
      </c>
      <c r="E1471" s="103" t="s">
        <v>2548</v>
      </c>
      <c r="F1471" s="103">
        <v>36.488297077600002</v>
      </c>
      <c r="G1471" s="103">
        <v>43.233949555400002</v>
      </c>
      <c r="H1471" s="102">
        <v>56</v>
      </c>
      <c r="I1471" s="102">
        <v>336</v>
      </c>
      <c r="J1471" s="103"/>
      <c r="K1471" s="103"/>
      <c r="L1471" s="103"/>
      <c r="M1471" s="103">
        <v>56</v>
      </c>
      <c r="N1471" s="103"/>
      <c r="O1471" s="103"/>
      <c r="P1471" s="103"/>
      <c r="Q1471" s="103"/>
      <c r="R1471" s="103"/>
      <c r="S1471" s="103"/>
      <c r="T1471" s="103"/>
      <c r="U1471" s="103"/>
      <c r="V1471" s="103"/>
      <c r="W1471" s="103"/>
      <c r="X1471" s="103"/>
      <c r="Y1471" s="103">
        <v>12</v>
      </c>
      <c r="Z1471" s="103"/>
      <c r="AA1471" s="103">
        <v>9</v>
      </c>
      <c r="AB1471" s="103"/>
      <c r="AC1471" s="103"/>
      <c r="AD1471" s="103"/>
      <c r="AE1471" s="103"/>
      <c r="AF1471" s="103"/>
      <c r="AG1471" s="103">
        <v>35</v>
      </c>
      <c r="AH1471" s="103"/>
      <c r="AI1471" s="103"/>
      <c r="AJ1471" s="103"/>
      <c r="AK1471" s="103"/>
      <c r="AL1471" s="103"/>
      <c r="AM1471" s="103"/>
      <c r="AN1471" s="103"/>
      <c r="AO1471" s="103">
        <v>34</v>
      </c>
      <c r="AP1471" s="103"/>
      <c r="AQ1471" s="103"/>
      <c r="AR1471" s="103"/>
      <c r="AS1471" s="103">
        <v>22</v>
      </c>
      <c r="AT1471" s="103"/>
      <c r="AU1471" s="103"/>
      <c r="AV1471" s="103"/>
      <c r="AW1471" s="104" t="str">
        <f>HYPERLINK("http://www.openstreetmap.org/?mlat=36.4883&amp;mlon=43.2339&amp;zoom=12#map=12/36.4883/43.2339","Maplink1")</f>
        <v>Maplink1</v>
      </c>
      <c r="AX1471" s="104" t="str">
        <f>HYPERLINK("https://www.google.iq/maps/search/+36.4883,43.2339/@36.4883,43.2339,14z?hl=en","Maplink2")</f>
        <v>Maplink2</v>
      </c>
      <c r="AY1471" s="104" t="str">
        <f>HYPERLINK("http://www.bing.com/maps/?lvl=14&amp;sty=h&amp;cp=36.4883~43.2339&amp;sp=point.36.4883_43.2339","Maplink3")</f>
        <v>Maplink3</v>
      </c>
    </row>
    <row r="1472" spans="1:51" x14ac:dyDescent="0.2">
      <c r="A1472" s="102">
        <v>17411</v>
      </c>
      <c r="B1472" s="103" t="s">
        <v>35</v>
      </c>
      <c r="C1472" s="103" t="s">
        <v>102</v>
      </c>
      <c r="D1472" s="103" t="s">
        <v>2549</v>
      </c>
      <c r="E1472" s="103" t="s">
        <v>2550</v>
      </c>
      <c r="F1472" s="103">
        <v>36.386782988699998</v>
      </c>
      <c r="G1472" s="103">
        <v>42.889758688900002</v>
      </c>
      <c r="H1472" s="102">
        <v>259</v>
      </c>
      <c r="I1472" s="102">
        <v>1554</v>
      </c>
      <c r="J1472" s="103"/>
      <c r="K1472" s="103"/>
      <c r="L1472" s="103"/>
      <c r="M1472" s="103">
        <v>253</v>
      </c>
      <c r="N1472" s="103">
        <v>6</v>
      </c>
      <c r="O1472" s="103"/>
      <c r="P1472" s="103"/>
      <c r="Q1472" s="103"/>
      <c r="R1472" s="103"/>
      <c r="S1472" s="103"/>
      <c r="T1472" s="103"/>
      <c r="U1472" s="103"/>
      <c r="V1472" s="103"/>
      <c r="W1472" s="103"/>
      <c r="X1472" s="103"/>
      <c r="Y1472" s="103"/>
      <c r="Z1472" s="103"/>
      <c r="AA1472" s="103"/>
      <c r="AB1472" s="103"/>
      <c r="AC1472" s="103"/>
      <c r="AD1472" s="103"/>
      <c r="AE1472" s="103"/>
      <c r="AF1472" s="103"/>
      <c r="AG1472" s="103">
        <v>259</v>
      </c>
      <c r="AH1472" s="103"/>
      <c r="AI1472" s="103"/>
      <c r="AJ1472" s="103"/>
      <c r="AK1472" s="103"/>
      <c r="AL1472" s="103"/>
      <c r="AM1472" s="103"/>
      <c r="AN1472" s="103"/>
      <c r="AO1472" s="103"/>
      <c r="AP1472" s="103"/>
      <c r="AQ1472" s="103"/>
      <c r="AR1472" s="103"/>
      <c r="AS1472" s="103">
        <v>259</v>
      </c>
      <c r="AT1472" s="103"/>
      <c r="AU1472" s="103"/>
      <c r="AV1472" s="103"/>
      <c r="AW1472" s="104" t="str">
        <f>HYPERLINK("http://www.openstreetmap.org/?mlat=36.3868&amp;mlon=42.8898&amp;zoom=12#map=12/36.3868/42.8898","Maplink1")</f>
        <v>Maplink1</v>
      </c>
      <c r="AX1472" s="104" t="str">
        <f>HYPERLINK("https://www.google.iq/maps/search/+36.3868,42.8898/@36.3868,42.8898,14z?hl=en","Maplink2")</f>
        <v>Maplink2</v>
      </c>
      <c r="AY1472" s="104" t="str">
        <f>HYPERLINK("http://www.bing.com/maps/?lvl=14&amp;sty=h&amp;cp=36.3868~42.8898&amp;sp=point.36.3868_42.8898","Maplink3")</f>
        <v>Maplink3</v>
      </c>
    </row>
    <row r="1473" spans="1:51" x14ac:dyDescent="0.2">
      <c r="A1473" s="102">
        <v>22450</v>
      </c>
      <c r="B1473" s="103" t="s">
        <v>35</v>
      </c>
      <c r="C1473" s="103" t="s">
        <v>102</v>
      </c>
      <c r="D1473" s="103" t="s">
        <v>2551</v>
      </c>
      <c r="E1473" s="103" t="s">
        <v>2552</v>
      </c>
      <c r="F1473" s="103">
        <v>36.266653677000001</v>
      </c>
      <c r="G1473" s="103">
        <v>42.709262386299997</v>
      </c>
      <c r="H1473" s="102">
        <v>2316</v>
      </c>
      <c r="I1473" s="102">
        <v>13896</v>
      </c>
      <c r="J1473" s="103"/>
      <c r="K1473" s="103"/>
      <c r="L1473" s="103"/>
      <c r="M1473" s="103">
        <v>1869</v>
      </c>
      <c r="N1473" s="103">
        <v>447</v>
      </c>
      <c r="O1473" s="103"/>
      <c r="P1473" s="103"/>
      <c r="Q1473" s="103"/>
      <c r="R1473" s="103"/>
      <c r="S1473" s="103"/>
      <c r="T1473" s="103"/>
      <c r="U1473" s="103"/>
      <c r="V1473" s="103"/>
      <c r="W1473" s="103"/>
      <c r="X1473" s="103"/>
      <c r="Y1473" s="103"/>
      <c r="Z1473" s="103"/>
      <c r="AA1473" s="103"/>
      <c r="AB1473" s="103"/>
      <c r="AC1473" s="103"/>
      <c r="AD1473" s="103"/>
      <c r="AE1473" s="103"/>
      <c r="AF1473" s="103"/>
      <c r="AG1473" s="103">
        <v>2316</v>
      </c>
      <c r="AH1473" s="103"/>
      <c r="AI1473" s="103"/>
      <c r="AJ1473" s="103"/>
      <c r="AK1473" s="103"/>
      <c r="AL1473" s="103"/>
      <c r="AM1473" s="103"/>
      <c r="AN1473" s="103">
        <v>20</v>
      </c>
      <c r="AO1473" s="103"/>
      <c r="AP1473" s="103"/>
      <c r="AQ1473" s="103"/>
      <c r="AR1473" s="103">
        <v>20</v>
      </c>
      <c r="AS1473" s="103">
        <v>1071</v>
      </c>
      <c r="AT1473" s="103">
        <v>1205</v>
      </c>
      <c r="AU1473" s="103"/>
      <c r="AV1473" s="103"/>
      <c r="AW1473" s="104" t="str">
        <f>HYPERLINK("http://www.openstreetmap.org/?mlat=36.2667&amp;mlon=42.7093&amp;zoom=12#map=12/36.2667/42.7093","Maplink1")</f>
        <v>Maplink1</v>
      </c>
      <c r="AX1473" s="104" t="str">
        <f>HYPERLINK("https://www.google.iq/maps/search/+36.2667,42.7093/@36.2667,42.7093,14z?hl=en","Maplink2")</f>
        <v>Maplink2</v>
      </c>
      <c r="AY1473" s="104" t="str">
        <f>HYPERLINK("http://www.bing.com/maps/?lvl=14&amp;sty=h&amp;cp=36.2667~42.7093&amp;sp=point.36.2667_42.7093","Maplink3")</f>
        <v>Maplink3</v>
      </c>
    </row>
    <row r="1474" spans="1:51" x14ac:dyDescent="0.2">
      <c r="A1474" s="102">
        <v>18053</v>
      </c>
      <c r="B1474" s="103" t="s">
        <v>35</v>
      </c>
      <c r="C1474" s="103" t="s">
        <v>102</v>
      </c>
      <c r="D1474" s="103" t="s">
        <v>2553</v>
      </c>
      <c r="E1474" s="103" t="s">
        <v>413</v>
      </c>
      <c r="F1474" s="103">
        <v>35.879141789199998</v>
      </c>
      <c r="G1474" s="103">
        <v>43.336335175599999</v>
      </c>
      <c r="H1474" s="102">
        <v>65</v>
      </c>
      <c r="I1474" s="102">
        <v>390</v>
      </c>
      <c r="J1474" s="103"/>
      <c r="K1474" s="103"/>
      <c r="L1474" s="103"/>
      <c r="M1474" s="103">
        <v>60</v>
      </c>
      <c r="N1474" s="103">
        <v>5</v>
      </c>
      <c r="O1474" s="103"/>
      <c r="P1474" s="103"/>
      <c r="Q1474" s="103"/>
      <c r="R1474" s="103"/>
      <c r="S1474" s="103"/>
      <c r="T1474" s="103"/>
      <c r="U1474" s="103"/>
      <c r="V1474" s="103"/>
      <c r="W1474" s="103"/>
      <c r="X1474" s="103"/>
      <c r="Y1474" s="103"/>
      <c r="Z1474" s="103"/>
      <c r="AA1474" s="103"/>
      <c r="AB1474" s="103"/>
      <c r="AC1474" s="103"/>
      <c r="AD1474" s="103"/>
      <c r="AE1474" s="103"/>
      <c r="AF1474" s="103"/>
      <c r="AG1474" s="103">
        <v>65</v>
      </c>
      <c r="AH1474" s="103"/>
      <c r="AI1474" s="103"/>
      <c r="AJ1474" s="103"/>
      <c r="AK1474" s="103"/>
      <c r="AL1474" s="103"/>
      <c r="AM1474" s="103"/>
      <c r="AN1474" s="103"/>
      <c r="AO1474" s="103"/>
      <c r="AP1474" s="103"/>
      <c r="AQ1474" s="103"/>
      <c r="AR1474" s="103"/>
      <c r="AS1474" s="103">
        <v>65</v>
      </c>
      <c r="AT1474" s="103"/>
      <c r="AU1474" s="103"/>
      <c r="AV1474" s="103"/>
      <c r="AW1474" s="104" t="str">
        <f>HYPERLINK("http://www.openstreetmap.org/?mlat=35.8791&amp;mlon=43.3363&amp;zoom=12#map=12/35.8791/43.3363","Maplink1")</f>
        <v>Maplink1</v>
      </c>
      <c r="AX1474" s="104" t="str">
        <f>HYPERLINK("https://www.google.iq/maps/search/+35.8791,43.3363/@35.8791,43.3363,14z?hl=en","Maplink2")</f>
        <v>Maplink2</v>
      </c>
      <c r="AY1474" s="104" t="str">
        <f>HYPERLINK("http://www.bing.com/maps/?lvl=14&amp;sty=h&amp;cp=35.8791~43.3363&amp;sp=point.35.8791_43.3363","Maplink3")</f>
        <v>Maplink3</v>
      </c>
    </row>
    <row r="1475" spans="1:51" x14ac:dyDescent="0.2">
      <c r="A1475" s="102">
        <v>31894</v>
      </c>
      <c r="B1475" s="103" t="s">
        <v>35</v>
      </c>
      <c r="C1475" s="103" t="s">
        <v>102</v>
      </c>
      <c r="D1475" s="103" t="s">
        <v>2554</v>
      </c>
      <c r="E1475" s="103" t="s">
        <v>2555</v>
      </c>
      <c r="F1475" s="103">
        <v>36.533529999999999</v>
      </c>
      <c r="G1475" s="103">
        <v>43.228749591800003</v>
      </c>
      <c r="H1475" s="102">
        <v>530</v>
      </c>
      <c r="I1475" s="102">
        <v>3180</v>
      </c>
      <c r="J1475" s="103"/>
      <c r="K1475" s="103"/>
      <c r="L1475" s="103"/>
      <c r="M1475" s="103">
        <v>530</v>
      </c>
      <c r="N1475" s="103"/>
      <c r="O1475" s="103"/>
      <c r="P1475" s="103"/>
      <c r="Q1475" s="103"/>
      <c r="R1475" s="103"/>
      <c r="S1475" s="103"/>
      <c r="T1475" s="103"/>
      <c r="U1475" s="103"/>
      <c r="V1475" s="103"/>
      <c r="W1475" s="103"/>
      <c r="X1475" s="103"/>
      <c r="Y1475" s="103">
        <v>20</v>
      </c>
      <c r="Z1475" s="103"/>
      <c r="AA1475" s="103">
        <v>30</v>
      </c>
      <c r="AB1475" s="103"/>
      <c r="AC1475" s="103"/>
      <c r="AD1475" s="103"/>
      <c r="AE1475" s="103"/>
      <c r="AF1475" s="103"/>
      <c r="AG1475" s="103">
        <v>480</v>
      </c>
      <c r="AH1475" s="103"/>
      <c r="AI1475" s="103"/>
      <c r="AJ1475" s="103"/>
      <c r="AK1475" s="103"/>
      <c r="AL1475" s="103"/>
      <c r="AM1475" s="103"/>
      <c r="AN1475" s="103"/>
      <c r="AO1475" s="103">
        <v>530</v>
      </c>
      <c r="AP1475" s="103"/>
      <c r="AQ1475" s="103"/>
      <c r="AR1475" s="103"/>
      <c r="AS1475" s="103"/>
      <c r="AT1475" s="103"/>
      <c r="AU1475" s="103"/>
      <c r="AV1475" s="103"/>
      <c r="AW1475" s="104" t="str">
        <f>HYPERLINK("http://www.openstreetmap.org/?mlat=36.5335&amp;mlon=43.2287&amp;zoom=12#map=12/36.5335/43.2287","Maplink1")</f>
        <v>Maplink1</v>
      </c>
      <c r="AX1475" s="104" t="str">
        <f>HYPERLINK("https://www.google.iq/maps/search/+36.5335,43.2287/@36.5335,43.2287,14z?hl=en","Maplink2")</f>
        <v>Maplink2</v>
      </c>
      <c r="AY1475" s="104" t="str">
        <f>HYPERLINK("http://www.bing.com/maps/?lvl=14&amp;sty=h&amp;cp=36.5335~43.2287&amp;sp=point.36.5335_43.2287","Maplink3")</f>
        <v>Maplink3</v>
      </c>
    </row>
    <row r="1476" spans="1:51" x14ac:dyDescent="0.2">
      <c r="A1476" s="102">
        <v>21607</v>
      </c>
      <c r="B1476" s="103" t="s">
        <v>35</v>
      </c>
      <c r="C1476" s="103" t="s">
        <v>102</v>
      </c>
      <c r="D1476" s="103" t="s">
        <v>2694</v>
      </c>
      <c r="E1476" s="103" t="s">
        <v>2695</v>
      </c>
      <c r="F1476" s="103">
        <v>36.451601937699998</v>
      </c>
      <c r="G1476" s="103">
        <v>43.351923886599998</v>
      </c>
      <c r="H1476" s="102">
        <v>4500</v>
      </c>
      <c r="I1476" s="102">
        <v>27000</v>
      </c>
      <c r="J1476" s="103"/>
      <c r="K1476" s="103"/>
      <c r="L1476" s="103"/>
      <c r="M1476" s="103">
        <v>4500</v>
      </c>
      <c r="N1476" s="103"/>
      <c r="O1476" s="103"/>
      <c r="P1476" s="103"/>
      <c r="Q1476" s="103"/>
      <c r="R1476" s="103"/>
      <c r="S1476" s="103"/>
      <c r="T1476" s="103"/>
      <c r="U1476" s="103"/>
      <c r="V1476" s="103">
        <v>21</v>
      </c>
      <c r="W1476" s="103">
        <v>31</v>
      </c>
      <c r="X1476" s="103"/>
      <c r="Y1476" s="103">
        <v>1379</v>
      </c>
      <c r="Z1476" s="103"/>
      <c r="AA1476" s="103">
        <v>700</v>
      </c>
      <c r="AB1476" s="103">
        <v>20</v>
      </c>
      <c r="AC1476" s="103">
        <v>3</v>
      </c>
      <c r="AD1476" s="103"/>
      <c r="AE1476" s="103"/>
      <c r="AF1476" s="103">
        <v>20</v>
      </c>
      <c r="AG1476" s="103">
        <v>2217</v>
      </c>
      <c r="AH1476" s="103"/>
      <c r="AI1476" s="103"/>
      <c r="AJ1476" s="103">
        <v>78</v>
      </c>
      <c r="AK1476" s="103"/>
      <c r="AL1476" s="103">
        <v>31</v>
      </c>
      <c r="AM1476" s="103"/>
      <c r="AN1476" s="103"/>
      <c r="AO1476" s="103">
        <v>4500</v>
      </c>
      <c r="AP1476" s="103"/>
      <c r="AQ1476" s="103"/>
      <c r="AR1476" s="103"/>
      <c r="AS1476" s="103"/>
      <c r="AT1476" s="103"/>
      <c r="AU1476" s="103"/>
      <c r="AV1476" s="103"/>
      <c r="AW1476" s="104" t="str">
        <f>HYPERLINK("http://www.openstreetmap.org/?mlat=36.4516&amp;mlon=43.3519&amp;zoom=12#map=12/36.4516/43.3519","Maplink1")</f>
        <v>Maplink1</v>
      </c>
      <c r="AX1476" s="104" t="str">
        <f>HYPERLINK("https://www.google.iq/maps/search/+36.4516,43.3519/@36.4516,43.3519,14z?hl=en","Maplink2")</f>
        <v>Maplink2</v>
      </c>
      <c r="AY1476" s="104" t="str">
        <f>HYPERLINK("http://www.bing.com/maps/?lvl=14&amp;sty=h&amp;cp=36.4516~43.3519&amp;sp=point.36.4516_43.3519","Maplink3")</f>
        <v>Maplink3</v>
      </c>
    </row>
    <row r="1477" spans="1:51" x14ac:dyDescent="0.2">
      <c r="A1477" s="102">
        <v>31731</v>
      </c>
      <c r="B1477" s="103" t="s">
        <v>35</v>
      </c>
      <c r="C1477" s="103" t="s">
        <v>102</v>
      </c>
      <c r="D1477" s="103" t="s">
        <v>2696</v>
      </c>
      <c r="E1477" s="103" t="s">
        <v>2697</v>
      </c>
      <c r="F1477" s="103">
        <v>36.111621665000001</v>
      </c>
      <c r="G1477" s="103">
        <v>43.274529043500003</v>
      </c>
      <c r="H1477" s="102">
        <v>75</v>
      </c>
      <c r="I1477" s="102">
        <v>450</v>
      </c>
      <c r="J1477" s="103"/>
      <c r="K1477" s="103"/>
      <c r="L1477" s="103"/>
      <c r="M1477" s="103">
        <v>73</v>
      </c>
      <c r="N1477" s="103">
        <v>2</v>
      </c>
      <c r="O1477" s="103"/>
      <c r="P1477" s="103"/>
      <c r="Q1477" s="103"/>
      <c r="R1477" s="103"/>
      <c r="S1477" s="103"/>
      <c r="T1477" s="103"/>
      <c r="U1477" s="103"/>
      <c r="V1477" s="103"/>
      <c r="W1477" s="103"/>
      <c r="X1477" s="103"/>
      <c r="Y1477" s="103"/>
      <c r="Z1477" s="103"/>
      <c r="AA1477" s="103"/>
      <c r="AB1477" s="103"/>
      <c r="AC1477" s="103"/>
      <c r="AD1477" s="103"/>
      <c r="AE1477" s="103"/>
      <c r="AF1477" s="103"/>
      <c r="AG1477" s="103">
        <v>75</v>
      </c>
      <c r="AH1477" s="103"/>
      <c r="AI1477" s="103"/>
      <c r="AJ1477" s="103"/>
      <c r="AK1477" s="103"/>
      <c r="AL1477" s="103"/>
      <c r="AM1477" s="103"/>
      <c r="AN1477" s="103"/>
      <c r="AO1477" s="103"/>
      <c r="AP1477" s="103"/>
      <c r="AQ1477" s="103"/>
      <c r="AR1477" s="103"/>
      <c r="AS1477" s="103">
        <v>75</v>
      </c>
      <c r="AT1477" s="103"/>
      <c r="AU1477" s="103"/>
      <c r="AV1477" s="103"/>
      <c r="AW1477" s="104" t="str">
        <f>HYPERLINK("http://www.openstreetmap.org/?mlat=36.1116&amp;mlon=43.2745&amp;zoom=12#map=12/36.1116/43.2745","Maplink1")</f>
        <v>Maplink1</v>
      </c>
      <c r="AX1477" s="104" t="str">
        <f>HYPERLINK("https://www.google.iq/maps/search/+36.1116,43.2745/@36.1116,43.2745,14z?hl=en","Maplink2")</f>
        <v>Maplink2</v>
      </c>
      <c r="AY1477" s="104" t="str">
        <f>HYPERLINK("http://www.bing.com/maps/?lvl=14&amp;sty=h&amp;cp=36.1116~43.2745&amp;sp=point.36.1116_43.2745","Maplink3")</f>
        <v>Maplink3</v>
      </c>
    </row>
    <row r="1478" spans="1:51" x14ac:dyDescent="0.2">
      <c r="A1478" s="102">
        <v>31835</v>
      </c>
      <c r="B1478" s="103" t="s">
        <v>35</v>
      </c>
      <c r="C1478" s="103" t="s">
        <v>102</v>
      </c>
      <c r="D1478" s="103" t="s">
        <v>2698</v>
      </c>
      <c r="E1478" s="103" t="s">
        <v>2699</v>
      </c>
      <c r="F1478" s="103">
        <v>35.740594384300003</v>
      </c>
      <c r="G1478" s="103">
        <v>43.3102306165</v>
      </c>
      <c r="H1478" s="102">
        <v>815</v>
      </c>
      <c r="I1478" s="102">
        <v>4890</v>
      </c>
      <c r="J1478" s="103"/>
      <c r="K1478" s="103"/>
      <c r="L1478" s="103"/>
      <c r="M1478" s="103">
        <v>800</v>
      </c>
      <c r="N1478" s="103">
        <v>15</v>
      </c>
      <c r="O1478" s="103"/>
      <c r="P1478" s="103"/>
      <c r="Q1478" s="103"/>
      <c r="R1478" s="103"/>
      <c r="S1478" s="103"/>
      <c r="T1478" s="103"/>
      <c r="U1478" s="103"/>
      <c r="V1478" s="103"/>
      <c r="W1478" s="103"/>
      <c r="X1478" s="103"/>
      <c r="Y1478" s="103"/>
      <c r="Z1478" s="103"/>
      <c r="AA1478" s="103">
        <v>760</v>
      </c>
      <c r="AB1478" s="103"/>
      <c r="AC1478" s="103">
        <v>55</v>
      </c>
      <c r="AD1478" s="103"/>
      <c r="AE1478" s="103"/>
      <c r="AF1478" s="103"/>
      <c r="AG1478" s="103"/>
      <c r="AH1478" s="103"/>
      <c r="AI1478" s="103"/>
      <c r="AJ1478" s="103"/>
      <c r="AK1478" s="103"/>
      <c r="AL1478" s="103"/>
      <c r="AM1478" s="103"/>
      <c r="AN1478" s="103"/>
      <c r="AO1478" s="103">
        <v>15</v>
      </c>
      <c r="AP1478" s="103"/>
      <c r="AQ1478" s="103"/>
      <c r="AR1478" s="103">
        <v>800</v>
      </c>
      <c r="AS1478" s="103"/>
      <c r="AT1478" s="103"/>
      <c r="AU1478" s="103"/>
      <c r="AV1478" s="103"/>
      <c r="AW1478" s="104" t="str">
        <f>HYPERLINK("http://www.openstreetmap.org/?mlat=35.7406&amp;mlon=43.3102&amp;zoom=12#map=12/35.7406/43.3102","Maplink1")</f>
        <v>Maplink1</v>
      </c>
      <c r="AX1478" s="104" t="str">
        <f>HYPERLINK("https://www.google.iq/maps/search/+35.7406,43.3102/@35.7406,43.3102,14z?hl=en","Maplink2")</f>
        <v>Maplink2</v>
      </c>
      <c r="AY1478" s="104" t="str">
        <f>HYPERLINK("http://www.bing.com/maps/?lvl=14&amp;sty=h&amp;cp=35.7406~43.3102&amp;sp=point.35.7406_43.3102","Maplink3")</f>
        <v>Maplink3</v>
      </c>
    </row>
    <row r="1479" spans="1:51" x14ac:dyDescent="0.2">
      <c r="A1479" s="102">
        <v>31892</v>
      </c>
      <c r="B1479" s="103" t="s">
        <v>35</v>
      </c>
      <c r="C1479" s="103" t="s">
        <v>102</v>
      </c>
      <c r="D1479" s="103" t="s">
        <v>2700</v>
      </c>
      <c r="E1479" s="103" t="s">
        <v>2701</v>
      </c>
      <c r="F1479" s="103">
        <v>35.872399999999999</v>
      </c>
      <c r="G1479" s="103">
        <v>43.246122999999997</v>
      </c>
      <c r="H1479" s="102">
        <v>30</v>
      </c>
      <c r="I1479" s="102">
        <v>180</v>
      </c>
      <c r="J1479" s="103"/>
      <c r="K1479" s="103"/>
      <c r="L1479" s="103"/>
      <c r="M1479" s="103">
        <v>26</v>
      </c>
      <c r="N1479" s="103">
        <v>4</v>
      </c>
      <c r="O1479" s="103"/>
      <c r="P1479" s="103"/>
      <c r="Q1479" s="103"/>
      <c r="R1479" s="103"/>
      <c r="S1479" s="103"/>
      <c r="T1479" s="103"/>
      <c r="U1479" s="103"/>
      <c r="V1479" s="103"/>
      <c r="W1479" s="103"/>
      <c r="X1479" s="103"/>
      <c r="Y1479" s="103"/>
      <c r="Z1479" s="103"/>
      <c r="AA1479" s="103"/>
      <c r="AB1479" s="103"/>
      <c r="AC1479" s="103"/>
      <c r="AD1479" s="103"/>
      <c r="AE1479" s="103"/>
      <c r="AF1479" s="103"/>
      <c r="AG1479" s="103">
        <v>30</v>
      </c>
      <c r="AH1479" s="103"/>
      <c r="AI1479" s="103"/>
      <c r="AJ1479" s="103"/>
      <c r="AK1479" s="103"/>
      <c r="AL1479" s="103"/>
      <c r="AM1479" s="103"/>
      <c r="AN1479" s="103"/>
      <c r="AO1479" s="103"/>
      <c r="AP1479" s="103"/>
      <c r="AQ1479" s="103"/>
      <c r="AR1479" s="103"/>
      <c r="AS1479" s="103">
        <v>30</v>
      </c>
      <c r="AT1479" s="103"/>
      <c r="AU1479" s="103"/>
      <c r="AV1479" s="103"/>
      <c r="AW1479" s="104" t="str">
        <f>HYPERLINK("http://www.openstreetmap.org/?mlat=35.8724&amp;mlon=43.2461&amp;zoom=12#map=12/35.8724/43.2461","Maplink1")</f>
        <v>Maplink1</v>
      </c>
      <c r="AX1479" s="104" t="str">
        <f>HYPERLINK("https://www.google.iq/maps/search/+35.8724,43.2461/@35.8724,43.2461,14z?hl=en","Maplink2")</f>
        <v>Maplink2</v>
      </c>
      <c r="AY1479" s="104" t="str">
        <f>HYPERLINK("http://www.bing.com/maps/?lvl=14&amp;sty=h&amp;cp=35.8724~43.2461&amp;sp=point.35.8724_43.2461","Maplink3")</f>
        <v>Maplink3</v>
      </c>
    </row>
    <row r="1480" spans="1:51" x14ac:dyDescent="0.2">
      <c r="A1480" s="102">
        <v>32056</v>
      </c>
      <c r="B1480" s="103" t="s">
        <v>35</v>
      </c>
      <c r="C1480" s="103" t="s">
        <v>102</v>
      </c>
      <c r="D1480" s="103" t="s">
        <v>2702</v>
      </c>
      <c r="E1480" s="103" t="s">
        <v>2703</v>
      </c>
      <c r="F1480" s="103">
        <v>36.147550000000003</v>
      </c>
      <c r="G1480" s="103">
        <v>43.181011379799997</v>
      </c>
      <c r="H1480" s="102">
        <v>55</v>
      </c>
      <c r="I1480" s="102">
        <v>330</v>
      </c>
      <c r="J1480" s="103"/>
      <c r="K1480" s="103"/>
      <c r="L1480" s="103"/>
      <c r="M1480" s="103">
        <v>50</v>
      </c>
      <c r="N1480" s="103">
        <v>5</v>
      </c>
      <c r="O1480" s="103"/>
      <c r="P1480" s="103"/>
      <c r="Q1480" s="103"/>
      <c r="R1480" s="103"/>
      <c r="S1480" s="103"/>
      <c r="T1480" s="103"/>
      <c r="U1480" s="103"/>
      <c r="V1480" s="103"/>
      <c r="W1480" s="103"/>
      <c r="X1480" s="103"/>
      <c r="Y1480" s="103"/>
      <c r="Z1480" s="103"/>
      <c r="AA1480" s="103"/>
      <c r="AB1480" s="103"/>
      <c r="AC1480" s="103"/>
      <c r="AD1480" s="103"/>
      <c r="AE1480" s="103"/>
      <c r="AF1480" s="103"/>
      <c r="AG1480" s="103">
        <v>55</v>
      </c>
      <c r="AH1480" s="103"/>
      <c r="AI1480" s="103"/>
      <c r="AJ1480" s="103"/>
      <c r="AK1480" s="103"/>
      <c r="AL1480" s="103"/>
      <c r="AM1480" s="103"/>
      <c r="AN1480" s="103"/>
      <c r="AO1480" s="103"/>
      <c r="AP1480" s="103"/>
      <c r="AQ1480" s="103"/>
      <c r="AR1480" s="103">
        <v>55</v>
      </c>
      <c r="AS1480" s="103"/>
      <c r="AT1480" s="103"/>
      <c r="AU1480" s="103"/>
      <c r="AV1480" s="103"/>
      <c r="AW1480" s="104" t="str">
        <f>HYPERLINK("http://www.openstreetmap.org/?mlat=36.1476&amp;mlon=43.181&amp;zoom=12#map=12/36.1476/43.181","Maplink1")</f>
        <v>Maplink1</v>
      </c>
      <c r="AX1480" s="104" t="str">
        <f>HYPERLINK("https://www.google.iq/maps/search/+36.1476,43.181/@36.1476,43.181,14z?hl=en","Maplink2")</f>
        <v>Maplink2</v>
      </c>
      <c r="AY1480" s="104" t="str">
        <f>HYPERLINK("http://www.bing.com/maps/?lvl=14&amp;sty=h&amp;cp=36.1476~43.181&amp;sp=point.36.1476_43.181","Maplink3")</f>
        <v>Maplink3</v>
      </c>
    </row>
    <row r="1481" spans="1:51" x14ac:dyDescent="0.2">
      <c r="A1481" s="102">
        <v>33409</v>
      </c>
      <c r="B1481" s="103" t="s">
        <v>35</v>
      </c>
      <c r="C1481" s="103" t="s">
        <v>102</v>
      </c>
      <c r="D1481" s="103" t="s">
        <v>2704</v>
      </c>
      <c r="E1481" s="103" t="s">
        <v>2705</v>
      </c>
      <c r="F1481" s="103">
        <v>36.313439000000002</v>
      </c>
      <c r="G1481" s="103">
        <v>43.2100938114</v>
      </c>
      <c r="H1481" s="102">
        <v>1820</v>
      </c>
      <c r="I1481" s="102">
        <v>10920</v>
      </c>
      <c r="J1481" s="103"/>
      <c r="K1481" s="103"/>
      <c r="L1481" s="103"/>
      <c r="M1481" s="103">
        <v>1820</v>
      </c>
      <c r="N1481" s="103"/>
      <c r="O1481" s="103"/>
      <c r="P1481" s="103"/>
      <c r="Q1481" s="103"/>
      <c r="R1481" s="103"/>
      <c r="S1481" s="103"/>
      <c r="T1481" s="103"/>
      <c r="U1481" s="103"/>
      <c r="V1481" s="103"/>
      <c r="W1481" s="103">
        <v>3</v>
      </c>
      <c r="X1481" s="103"/>
      <c r="Y1481" s="103">
        <v>22</v>
      </c>
      <c r="Z1481" s="103"/>
      <c r="AA1481" s="103">
        <v>28</v>
      </c>
      <c r="AB1481" s="103"/>
      <c r="AC1481" s="103">
        <v>65</v>
      </c>
      <c r="AD1481" s="103"/>
      <c r="AE1481" s="103"/>
      <c r="AF1481" s="103"/>
      <c r="AG1481" s="103">
        <v>1702</v>
      </c>
      <c r="AH1481" s="103"/>
      <c r="AI1481" s="103"/>
      <c r="AJ1481" s="103"/>
      <c r="AK1481" s="103"/>
      <c r="AL1481" s="103"/>
      <c r="AM1481" s="103"/>
      <c r="AN1481" s="103">
        <v>118</v>
      </c>
      <c r="AO1481" s="103"/>
      <c r="AP1481" s="103"/>
      <c r="AQ1481" s="103"/>
      <c r="AR1481" s="103"/>
      <c r="AS1481" s="103">
        <v>1702</v>
      </c>
      <c r="AT1481" s="103"/>
      <c r="AU1481" s="103"/>
      <c r="AV1481" s="103"/>
      <c r="AW1481" s="104" t="str">
        <f>HYPERLINK("http://www.openstreetmap.org/?mlat=36.3134&amp;mlon=43.2101&amp;zoom=12#map=12/36.3134/43.2101","Maplink1")</f>
        <v>Maplink1</v>
      </c>
      <c r="AX1481" s="104" t="str">
        <f>HYPERLINK("https://www.google.iq/maps/search/+36.3134,43.2101/@36.3134,43.2101,14z?hl=en","Maplink2")</f>
        <v>Maplink2</v>
      </c>
      <c r="AY1481" s="104" t="str">
        <f>HYPERLINK("http://www.bing.com/maps/?lvl=14&amp;sty=h&amp;cp=36.3134~43.2101&amp;sp=point.36.3134_43.2101","Maplink3")</f>
        <v>Maplink3</v>
      </c>
    </row>
    <row r="1482" spans="1:51" x14ac:dyDescent="0.2">
      <c r="A1482" s="102">
        <v>33410</v>
      </c>
      <c r="B1482" s="103" t="s">
        <v>35</v>
      </c>
      <c r="C1482" s="103" t="s">
        <v>102</v>
      </c>
      <c r="D1482" s="103" t="s">
        <v>2706</v>
      </c>
      <c r="E1482" s="103" t="s">
        <v>2707</v>
      </c>
      <c r="F1482" s="103">
        <v>36.33399</v>
      </c>
      <c r="G1482" s="103">
        <v>43.176381977399998</v>
      </c>
      <c r="H1482" s="102">
        <v>746</v>
      </c>
      <c r="I1482" s="102">
        <v>4476</v>
      </c>
      <c r="J1482" s="103"/>
      <c r="K1482" s="103"/>
      <c r="L1482" s="103"/>
      <c r="M1482" s="103">
        <v>746</v>
      </c>
      <c r="N1482" s="103"/>
      <c r="O1482" s="103"/>
      <c r="P1482" s="103"/>
      <c r="Q1482" s="103"/>
      <c r="R1482" s="103"/>
      <c r="S1482" s="103"/>
      <c r="T1482" s="103"/>
      <c r="U1482" s="103"/>
      <c r="V1482" s="103"/>
      <c r="W1482" s="103">
        <v>2</v>
      </c>
      <c r="X1482" s="103"/>
      <c r="Y1482" s="103">
        <v>33</v>
      </c>
      <c r="Z1482" s="103"/>
      <c r="AA1482" s="103">
        <v>85</v>
      </c>
      <c r="AB1482" s="103"/>
      <c r="AC1482" s="103">
        <v>71</v>
      </c>
      <c r="AD1482" s="103"/>
      <c r="AE1482" s="103"/>
      <c r="AF1482" s="103"/>
      <c r="AG1482" s="103">
        <v>555</v>
      </c>
      <c r="AH1482" s="103"/>
      <c r="AI1482" s="103"/>
      <c r="AJ1482" s="103"/>
      <c r="AK1482" s="103"/>
      <c r="AL1482" s="103"/>
      <c r="AM1482" s="103"/>
      <c r="AN1482" s="103">
        <v>191</v>
      </c>
      <c r="AO1482" s="103"/>
      <c r="AP1482" s="103"/>
      <c r="AQ1482" s="103"/>
      <c r="AR1482" s="103"/>
      <c r="AS1482" s="103">
        <v>555</v>
      </c>
      <c r="AT1482" s="103"/>
      <c r="AU1482" s="103"/>
      <c r="AV1482" s="103"/>
      <c r="AW1482" s="104" t="str">
        <f>HYPERLINK("http://www.openstreetmap.org/?mlat=36.334&amp;mlon=43.1764&amp;zoom=12#map=12/36.334/43.1764","Maplink1")</f>
        <v>Maplink1</v>
      </c>
      <c r="AX1482" s="104" t="str">
        <f>HYPERLINK("https://www.google.iq/maps/search/+36.334,43.1764/@36.334,43.1764,14z?hl=en","Maplink2")</f>
        <v>Maplink2</v>
      </c>
      <c r="AY1482" s="104" t="str">
        <f>HYPERLINK("http://www.bing.com/maps/?lvl=14&amp;sty=h&amp;cp=36.334~43.1764&amp;sp=point.36.334_43.1764","Maplink3")</f>
        <v>Maplink3</v>
      </c>
    </row>
    <row r="1483" spans="1:51" x14ac:dyDescent="0.2">
      <c r="A1483" s="102">
        <v>18337</v>
      </c>
      <c r="B1483" s="103" t="s">
        <v>35</v>
      </c>
      <c r="C1483" s="103" t="s">
        <v>102</v>
      </c>
      <c r="D1483" s="103" t="s">
        <v>2767</v>
      </c>
      <c r="E1483" s="103" t="s">
        <v>2768</v>
      </c>
      <c r="F1483" s="103">
        <v>36.386359622000001</v>
      </c>
      <c r="G1483" s="103">
        <v>43.178171774600003</v>
      </c>
      <c r="H1483" s="102">
        <v>322</v>
      </c>
      <c r="I1483" s="102">
        <v>1932</v>
      </c>
      <c r="J1483" s="103"/>
      <c r="K1483" s="103"/>
      <c r="L1483" s="103"/>
      <c r="M1483" s="103">
        <v>322</v>
      </c>
      <c r="N1483" s="103"/>
      <c r="O1483" s="103"/>
      <c r="P1483" s="103"/>
      <c r="Q1483" s="103"/>
      <c r="R1483" s="103"/>
      <c r="S1483" s="103"/>
      <c r="T1483" s="103"/>
      <c r="U1483" s="103"/>
      <c r="V1483" s="103"/>
      <c r="W1483" s="103">
        <v>66</v>
      </c>
      <c r="X1483" s="103"/>
      <c r="Y1483" s="103">
        <v>58</v>
      </c>
      <c r="Z1483" s="103"/>
      <c r="AA1483" s="103">
        <v>74</v>
      </c>
      <c r="AB1483" s="103"/>
      <c r="AC1483" s="103"/>
      <c r="AD1483" s="103"/>
      <c r="AE1483" s="103"/>
      <c r="AF1483" s="103"/>
      <c r="AG1483" s="103">
        <v>94</v>
      </c>
      <c r="AH1483" s="103"/>
      <c r="AI1483" s="103"/>
      <c r="AJ1483" s="103">
        <v>30</v>
      </c>
      <c r="AK1483" s="103"/>
      <c r="AL1483" s="103"/>
      <c r="AM1483" s="103"/>
      <c r="AN1483" s="103">
        <v>228</v>
      </c>
      <c r="AO1483" s="103"/>
      <c r="AP1483" s="103"/>
      <c r="AQ1483" s="103"/>
      <c r="AR1483" s="103"/>
      <c r="AS1483" s="103">
        <v>94</v>
      </c>
      <c r="AT1483" s="103"/>
      <c r="AU1483" s="103"/>
      <c r="AV1483" s="103"/>
      <c r="AW1483" s="104" t="str">
        <f>HYPERLINK("http://www.openstreetmap.org/?mlat=36.3864&amp;mlon=43.1782&amp;zoom=12#map=12/36.3864/43.1782","Maplink1")</f>
        <v>Maplink1</v>
      </c>
      <c r="AX1483" s="104" t="str">
        <f>HYPERLINK("https://www.google.iq/maps/search/+36.3864,43.1782/@36.3864,43.1782,14z?hl=en","Maplink2")</f>
        <v>Maplink2</v>
      </c>
      <c r="AY1483" s="104" t="str">
        <f>HYPERLINK("http://www.bing.com/maps/?lvl=14&amp;sty=h&amp;cp=36.3864~43.1782&amp;sp=point.36.3864_43.1782","Maplink3")</f>
        <v>Maplink3</v>
      </c>
    </row>
    <row r="1484" spans="1:51" x14ac:dyDescent="0.2">
      <c r="A1484" s="102">
        <v>18322</v>
      </c>
      <c r="B1484" s="103" t="s">
        <v>35</v>
      </c>
      <c r="C1484" s="103" t="s">
        <v>102</v>
      </c>
      <c r="D1484" s="103" t="s">
        <v>2769</v>
      </c>
      <c r="E1484" s="103" t="s">
        <v>489</v>
      </c>
      <c r="F1484" s="103">
        <v>36.302639499999998</v>
      </c>
      <c r="G1484" s="103">
        <v>43.211533500000002</v>
      </c>
      <c r="H1484" s="102">
        <v>23</v>
      </c>
      <c r="I1484" s="102">
        <v>138</v>
      </c>
      <c r="J1484" s="103"/>
      <c r="K1484" s="103"/>
      <c r="L1484" s="103"/>
      <c r="M1484" s="103">
        <v>23</v>
      </c>
      <c r="N1484" s="103"/>
      <c r="O1484" s="103"/>
      <c r="P1484" s="103"/>
      <c r="Q1484" s="103"/>
      <c r="R1484" s="103"/>
      <c r="S1484" s="103"/>
      <c r="T1484" s="103"/>
      <c r="U1484" s="103"/>
      <c r="V1484" s="103"/>
      <c r="W1484" s="103">
        <v>5</v>
      </c>
      <c r="X1484" s="103"/>
      <c r="Y1484" s="103"/>
      <c r="Z1484" s="103"/>
      <c r="AA1484" s="103">
        <v>7</v>
      </c>
      <c r="AB1484" s="103"/>
      <c r="AC1484" s="103">
        <v>1</v>
      </c>
      <c r="AD1484" s="103"/>
      <c r="AE1484" s="103"/>
      <c r="AF1484" s="103"/>
      <c r="AG1484" s="103">
        <v>10</v>
      </c>
      <c r="AH1484" s="103"/>
      <c r="AI1484" s="103"/>
      <c r="AJ1484" s="103"/>
      <c r="AK1484" s="103"/>
      <c r="AL1484" s="103"/>
      <c r="AM1484" s="103"/>
      <c r="AN1484" s="103">
        <v>13</v>
      </c>
      <c r="AO1484" s="103"/>
      <c r="AP1484" s="103"/>
      <c r="AQ1484" s="103"/>
      <c r="AR1484" s="103"/>
      <c r="AS1484" s="103">
        <v>10</v>
      </c>
      <c r="AT1484" s="103"/>
      <c r="AU1484" s="103"/>
      <c r="AV1484" s="103"/>
      <c r="AW1484" s="104" t="str">
        <f>HYPERLINK("http://www.openstreetmap.org/?mlat=36.3026&amp;mlon=43.2115&amp;zoom=12#map=12/36.3026/43.2115","Maplink1")</f>
        <v>Maplink1</v>
      </c>
      <c r="AX1484" s="104" t="str">
        <f>HYPERLINK("https://www.google.iq/maps/search/+36.3026,43.2115/@36.3026,43.2115,14z?hl=en","Maplink2")</f>
        <v>Maplink2</v>
      </c>
      <c r="AY1484" s="104" t="str">
        <f>HYPERLINK("http://www.bing.com/maps/?lvl=14&amp;sty=h&amp;cp=36.3026~43.2115&amp;sp=point.36.3026_43.2115","Maplink3")</f>
        <v>Maplink3</v>
      </c>
    </row>
    <row r="1485" spans="1:51" x14ac:dyDescent="0.2">
      <c r="A1485" s="102">
        <v>17921</v>
      </c>
      <c r="B1485" s="103" t="s">
        <v>35</v>
      </c>
      <c r="C1485" s="103" t="s">
        <v>102</v>
      </c>
      <c r="D1485" s="103" t="s">
        <v>2770</v>
      </c>
      <c r="E1485" s="103" t="s">
        <v>2771</v>
      </c>
      <c r="F1485" s="103">
        <v>35.935200000000002</v>
      </c>
      <c r="G1485" s="103">
        <v>43.272955936199999</v>
      </c>
      <c r="H1485" s="102">
        <v>153</v>
      </c>
      <c r="I1485" s="102">
        <v>918</v>
      </c>
      <c r="J1485" s="103"/>
      <c r="K1485" s="103"/>
      <c r="L1485" s="103"/>
      <c r="M1485" s="103">
        <v>153</v>
      </c>
      <c r="N1485" s="103"/>
      <c r="O1485" s="103"/>
      <c r="P1485" s="103"/>
      <c r="Q1485" s="103"/>
      <c r="R1485" s="103"/>
      <c r="S1485" s="103"/>
      <c r="T1485" s="103"/>
      <c r="U1485" s="103"/>
      <c r="V1485" s="103"/>
      <c r="W1485" s="103">
        <v>1</v>
      </c>
      <c r="X1485" s="103"/>
      <c r="Y1485" s="103"/>
      <c r="Z1485" s="103"/>
      <c r="AA1485" s="103"/>
      <c r="AB1485" s="103"/>
      <c r="AC1485" s="103">
        <v>1</v>
      </c>
      <c r="AD1485" s="103"/>
      <c r="AE1485" s="103"/>
      <c r="AF1485" s="103"/>
      <c r="AG1485" s="103">
        <v>151</v>
      </c>
      <c r="AH1485" s="103"/>
      <c r="AI1485" s="103"/>
      <c r="AJ1485" s="103"/>
      <c r="AK1485" s="103"/>
      <c r="AL1485" s="103"/>
      <c r="AM1485" s="103"/>
      <c r="AN1485" s="103"/>
      <c r="AO1485" s="103"/>
      <c r="AP1485" s="103"/>
      <c r="AQ1485" s="103"/>
      <c r="AR1485" s="103"/>
      <c r="AS1485" s="103">
        <v>153</v>
      </c>
      <c r="AT1485" s="103"/>
      <c r="AU1485" s="103"/>
      <c r="AV1485" s="103"/>
      <c r="AW1485" s="104" t="str">
        <f>HYPERLINK("http://www.openstreetmap.org/?mlat=35.9352&amp;mlon=43.273&amp;zoom=12#map=12/35.9352/43.273","Maplink1")</f>
        <v>Maplink1</v>
      </c>
      <c r="AX1485" s="104" t="str">
        <f>HYPERLINK("https://www.google.iq/maps/search/+35.9352,43.273/@35.9352,43.273,14z?hl=en","Maplink2")</f>
        <v>Maplink2</v>
      </c>
      <c r="AY1485" s="104" t="str">
        <f>HYPERLINK("http://www.bing.com/maps/?lvl=14&amp;sty=h&amp;cp=35.9352~43.273&amp;sp=point.35.9352_43.273","Maplink3")</f>
        <v>Maplink3</v>
      </c>
    </row>
    <row r="1486" spans="1:51" x14ac:dyDescent="0.2">
      <c r="A1486" s="102">
        <v>31887</v>
      </c>
      <c r="B1486" s="103" t="s">
        <v>35</v>
      </c>
      <c r="C1486" s="103" t="s">
        <v>102</v>
      </c>
      <c r="D1486" s="103" t="s">
        <v>2772</v>
      </c>
      <c r="E1486" s="103" t="s">
        <v>2773</v>
      </c>
      <c r="F1486" s="103">
        <v>36.225879999999997</v>
      </c>
      <c r="G1486" s="103">
        <v>43.199881398000002</v>
      </c>
      <c r="H1486" s="102">
        <v>45</v>
      </c>
      <c r="I1486" s="102">
        <v>270</v>
      </c>
      <c r="J1486" s="103"/>
      <c r="K1486" s="103"/>
      <c r="L1486" s="103"/>
      <c r="M1486" s="103">
        <v>45</v>
      </c>
      <c r="N1486" s="103"/>
      <c r="O1486" s="103"/>
      <c r="P1486" s="103"/>
      <c r="Q1486" s="103"/>
      <c r="R1486" s="103"/>
      <c r="S1486" s="103"/>
      <c r="T1486" s="103"/>
      <c r="U1486" s="103"/>
      <c r="V1486" s="103"/>
      <c r="W1486" s="103"/>
      <c r="X1486" s="103"/>
      <c r="Y1486" s="103"/>
      <c r="Z1486" s="103"/>
      <c r="AA1486" s="103"/>
      <c r="AB1486" s="103"/>
      <c r="AC1486" s="103"/>
      <c r="AD1486" s="103"/>
      <c r="AE1486" s="103"/>
      <c r="AF1486" s="103"/>
      <c r="AG1486" s="103">
        <v>45</v>
      </c>
      <c r="AH1486" s="103"/>
      <c r="AI1486" s="103"/>
      <c r="AJ1486" s="103"/>
      <c r="AK1486" s="103"/>
      <c r="AL1486" s="103"/>
      <c r="AM1486" s="103"/>
      <c r="AN1486" s="103"/>
      <c r="AO1486" s="103"/>
      <c r="AP1486" s="103"/>
      <c r="AQ1486" s="103"/>
      <c r="AR1486" s="103"/>
      <c r="AS1486" s="103">
        <v>45</v>
      </c>
      <c r="AT1486" s="103"/>
      <c r="AU1486" s="103"/>
      <c r="AV1486" s="103"/>
      <c r="AW1486" s="104" t="str">
        <f>HYPERLINK("http://www.openstreetmap.org/?mlat=36.2259&amp;mlon=43.1999&amp;zoom=12#map=12/36.2259/43.1999","Maplink1")</f>
        <v>Maplink1</v>
      </c>
      <c r="AX1486" s="104" t="str">
        <f>HYPERLINK("https://www.google.iq/maps/search/+36.2259,43.1999/@36.2259,43.1999,14z?hl=en","Maplink2")</f>
        <v>Maplink2</v>
      </c>
      <c r="AY1486" s="104" t="str">
        <f>HYPERLINK("http://www.bing.com/maps/?lvl=14&amp;sty=h&amp;cp=36.2259~43.1999&amp;sp=point.36.2259_43.1999","Maplink3")</f>
        <v>Maplink3</v>
      </c>
    </row>
    <row r="1487" spans="1:51" x14ac:dyDescent="0.2">
      <c r="A1487" s="102">
        <v>18320</v>
      </c>
      <c r="B1487" s="103" t="s">
        <v>35</v>
      </c>
      <c r="C1487" s="103" t="s">
        <v>102</v>
      </c>
      <c r="D1487" s="103" t="s">
        <v>2774</v>
      </c>
      <c r="E1487" s="103" t="s">
        <v>2775</v>
      </c>
      <c r="F1487" s="103">
        <v>36.383216780300003</v>
      </c>
      <c r="G1487" s="103">
        <v>43.1623780113</v>
      </c>
      <c r="H1487" s="102">
        <v>123</v>
      </c>
      <c r="I1487" s="102">
        <v>738</v>
      </c>
      <c r="J1487" s="103"/>
      <c r="K1487" s="103"/>
      <c r="L1487" s="103"/>
      <c r="M1487" s="103">
        <v>123</v>
      </c>
      <c r="N1487" s="103"/>
      <c r="O1487" s="103"/>
      <c r="P1487" s="103"/>
      <c r="Q1487" s="103"/>
      <c r="R1487" s="103"/>
      <c r="S1487" s="103"/>
      <c r="T1487" s="103"/>
      <c r="U1487" s="103"/>
      <c r="V1487" s="103"/>
      <c r="W1487" s="103">
        <v>8</v>
      </c>
      <c r="X1487" s="103"/>
      <c r="Y1487" s="103">
        <v>11</v>
      </c>
      <c r="Z1487" s="103"/>
      <c r="AA1487" s="103">
        <v>22</v>
      </c>
      <c r="AB1487" s="103"/>
      <c r="AC1487" s="103">
        <v>2</v>
      </c>
      <c r="AD1487" s="103"/>
      <c r="AE1487" s="103"/>
      <c r="AF1487" s="103"/>
      <c r="AG1487" s="103">
        <v>80</v>
      </c>
      <c r="AH1487" s="103"/>
      <c r="AI1487" s="103"/>
      <c r="AJ1487" s="103"/>
      <c r="AK1487" s="103"/>
      <c r="AL1487" s="103"/>
      <c r="AM1487" s="103"/>
      <c r="AN1487" s="103">
        <v>43</v>
      </c>
      <c r="AO1487" s="103"/>
      <c r="AP1487" s="103"/>
      <c r="AQ1487" s="103"/>
      <c r="AR1487" s="103"/>
      <c r="AS1487" s="103">
        <v>80</v>
      </c>
      <c r="AT1487" s="103"/>
      <c r="AU1487" s="103"/>
      <c r="AV1487" s="103"/>
      <c r="AW1487" s="104" t="str">
        <f>HYPERLINK("http://www.openstreetmap.org/?mlat=36.3832&amp;mlon=43.1624&amp;zoom=12#map=12/36.3832/43.1624","Maplink1")</f>
        <v>Maplink1</v>
      </c>
      <c r="AX1487" s="104" t="str">
        <f>HYPERLINK("https://www.google.iq/maps/search/+36.3832,43.1624/@36.3832,43.1624,14z?hl=en","Maplink2")</f>
        <v>Maplink2</v>
      </c>
      <c r="AY1487" s="104" t="str">
        <f>HYPERLINK("http://www.bing.com/maps/?lvl=14&amp;sty=h&amp;cp=36.3832~43.1624&amp;sp=point.36.3832_43.1624","Maplink3")</f>
        <v>Maplink3</v>
      </c>
    </row>
    <row r="1488" spans="1:51" x14ac:dyDescent="0.2">
      <c r="A1488" s="102">
        <v>18339</v>
      </c>
      <c r="B1488" s="103" t="s">
        <v>35</v>
      </c>
      <c r="C1488" s="103" t="s">
        <v>102</v>
      </c>
      <c r="D1488" s="103" t="s">
        <v>2784</v>
      </c>
      <c r="E1488" s="103" t="s">
        <v>2785</v>
      </c>
      <c r="F1488" s="103">
        <v>36.344340316699999</v>
      </c>
      <c r="G1488" s="103">
        <v>43.2139333382</v>
      </c>
      <c r="H1488" s="102">
        <v>2654</v>
      </c>
      <c r="I1488" s="102">
        <v>15924</v>
      </c>
      <c r="J1488" s="103"/>
      <c r="K1488" s="103"/>
      <c r="L1488" s="103"/>
      <c r="M1488" s="103">
        <v>2654</v>
      </c>
      <c r="N1488" s="103"/>
      <c r="O1488" s="103"/>
      <c r="P1488" s="103"/>
      <c r="Q1488" s="103"/>
      <c r="R1488" s="103"/>
      <c r="S1488" s="103"/>
      <c r="T1488" s="103"/>
      <c r="U1488" s="103"/>
      <c r="V1488" s="103"/>
      <c r="W1488" s="103">
        <v>254</v>
      </c>
      <c r="X1488" s="103"/>
      <c r="Y1488" s="103">
        <v>149</v>
      </c>
      <c r="Z1488" s="103"/>
      <c r="AA1488" s="103">
        <v>205</v>
      </c>
      <c r="AB1488" s="103"/>
      <c r="AC1488" s="103">
        <v>13</v>
      </c>
      <c r="AD1488" s="103"/>
      <c r="AE1488" s="103"/>
      <c r="AF1488" s="103"/>
      <c r="AG1488" s="103">
        <v>2033</v>
      </c>
      <c r="AH1488" s="103"/>
      <c r="AI1488" s="103"/>
      <c r="AJ1488" s="103"/>
      <c r="AK1488" s="103"/>
      <c r="AL1488" s="103"/>
      <c r="AM1488" s="103"/>
      <c r="AN1488" s="103">
        <v>621</v>
      </c>
      <c r="AO1488" s="103"/>
      <c r="AP1488" s="103"/>
      <c r="AQ1488" s="103"/>
      <c r="AR1488" s="103"/>
      <c r="AS1488" s="103">
        <v>2033</v>
      </c>
      <c r="AT1488" s="103"/>
      <c r="AU1488" s="103"/>
      <c r="AV1488" s="103"/>
      <c r="AW1488" s="104" t="str">
        <f>HYPERLINK("http://www.openstreetmap.org/?mlat=36.3443&amp;mlon=43.2139&amp;zoom=12#map=12/36.3443/43.2139","Maplink1")</f>
        <v>Maplink1</v>
      </c>
      <c r="AX1488" s="104" t="str">
        <f>HYPERLINK("https://www.google.iq/maps/search/+36.3443,43.2139/@36.3443,43.2139,14z?hl=en","Maplink2")</f>
        <v>Maplink2</v>
      </c>
      <c r="AY1488" s="104" t="str">
        <f>HYPERLINK("http://www.bing.com/maps/?lvl=14&amp;sty=h&amp;cp=36.3443~43.2139&amp;sp=point.36.3443_43.2139","Maplink3")</f>
        <v>Maplink3</v>
      </c>
    </row>
    <row r="1489" spans="1:51" x14ac:dyDescent="0.2">
      <c r="A1489" s="102">
        <v>18348</v>
      </c>
      <c r="B1489" s="103" t="s">
        <v>35</v>
      </c>
      <c r="C1489" s="103" t="s">
        <v>102</v>
      </c>
      <c r="D1489" s="103" t="s">
        <v>2786</v>
      </c>
      <c r="E1489" s="103" t="s">
        <v>2787</v>
      </c>
      <c r="F1489" s="103">
        <v>36.352919999999997</v>
      </c>
      <c r="G1489" s="103">
        <v>43.156840000000003</v>
      </c>
      <c r="H1489" s="102">
        <v>250</v>
      </c>
      <c r="I1489" s="102">
        <v>1500</v>
      </c>
      <c r="J1489" s="103"/>
      <c r="K1489" s="103"/>
      <c r="L1489" s="103"/>
      <c r="M1489" s="103">
        <v>250</v>
      </c>
      <c r="N1489" s="103"/>
      <c r="O1489" s="103"/>
      <c r="P1489" s="103"/>
      <c r="Q1489" s="103"/>
      <c r="R1489" s="103"/>
      <c r="S1489" s="103"/>
      <c r="T1489" s="103"/>
      <c r="U1489" s="103"/>
      <c r="V1489" s="103"/>
      <c r="W1489" s="103">
        <v>37</v>
      </c>
      <c r="X1489" s="103"/>
      <c r="Y1489" s="103">
        <v>30</v>
      </c>
      <c r="Z1489" s="103"/>
      <c r="AA1489" s="103">
        <v>33</v>
      </c>
      <c r="AB1489" s="103">
        <v>15</v>
      </c>
      <c r="AC1489" s="103"/>
      <c r="AD1489" s="103"/>
      <c r="AE1489" s="103"/>
      <c r="AF1489" s="103"/>
      <c r="AG1489" s="103">
        <v>135</v>
      </c>
      <c r="AH1489" s="103"/>
      <c r="AI1489" s="103"/>
      <c r="AJ1489" s="103"/>
      <c r="AK1489" s="103"/>
      <c r="AL1489" s="103"/>
      <c r="AM1489" s="103"/>
      <c r="AN1489" s="103">
        <v>115</v>
      </c>
      <c r="AO1489" s="103"/>
      <c r="AP1489" s="103"/>
      <c r="AQ1489" s="103"/>
      <c r="AR1489" s="103"/>
      <c r="AS1489" s="103">
        <v>135</v>
      </c>
      <c r="AT1489" s="103"/>
      <c r="AU1489" s="103"/>
      <c r="AV1489" s="103"/>
      <c r="AW1489" s="104" t="str">
        <f>HYPERLINK("http://www.openstreetmap.org/?mlat=36.3529&amp;mlon=43.1568&amp;zoom=12#map=12/36.3529/43.1568","Maplink1")</f>
        <v>Maplink1</v>
      </c>
      <c r="AX1489" s="104" t="str">
        <f>HYPERLINK("https://www.google.iq/maps/search/+36.3529,43.1568/@36.3529,43.1568,14z?hl=en","Maplink2")</f>
        <v>Maplink2</v>
      </c>
      <c r="AY1489" s="104" t="str">
        <f>HYPERLINK("http://www.bing.com/maps/?lvl=14&amp;sty=h&amp;cp=36.3529~43.1568&amp;sp=point.36.3529_43.1568","Maplink3")</f>
        <v>Maplink3</v>
      </c>
    </row>
    <row r="1490" spans="1:51" x14ac:dyDescent="0.2">
      <c r="A1490" s="102">
        <v>27269</v>
      </c>
      <c r="B1490" s="103" t="s">
        <v>35</v>
      </c>
      <c r="C1490" s="103" t="s">
        <v>102</v>
      </c>
      <c r="D1490" s="103" t="s">
        <v>2788</v>
      </c>
      <c r="E1490" s="103" t="s">
        <v>2789</v>
      </c>
      <c r="F1490" s="103">
        <v>36.3724838885</v>
      </c>
      <c r="G1490" s="103">
        <v>43.189232136000001</v>
      </c>
      <c r="H1490" s="102">
        <v>552</v>
      </c>
      <c r="I1490" s="102">
        <v>3312</v>
      </c>
      <c r="J1490" s="103"/>
      <c r="K1490" s="103"/>
      <c r="L1490" s="103"/>
      <c r="M1490" s="103">
        <v>552</v>
      </c>
      <c r="N1490" s="103"/>
      <c r="O1490" s="103"/>
      <c r="P1490" s="103"/>
      <c r="Q1490" s="103"/>
      <c r="R1490" s="103"/>
      <c r="S1490" s="103"/>
      <c r="T1490" s="103"/>
      <c r="U1490" s="103"/>
      <c r="V1490" s="103"/>
      <c r="W1490" s="103">
        <v>36</v>
      </c>
      <c r="X1490" s="103"/>
      <c r="Y1490" s="103">
        <v>61</v>
      </c>
      <c r="Z1490" s="103"/>
      <c r="AA1490" s="103">
        <v>73</v>
      </c>
      <c r="AB1490" s="103"/>
      <c r="AC1490" s="103">
        <v>4</v>
      </c>
      <c r="AD1490" s="103"/>
      <c r="AE1490" s="103"/>
      <c r="AF1490" s="103"/>
      <c r="AG1490" s="103">
        <v>378</v>
      </c>
      <c r="AH1490" s="103"/>
      <c r="AI1490" s="103"/>
      <c r="AJ1490" s="103"/>
      <c r="AK1490" s="103"/>
      <c r="AL1490" s="103"/>
      <c r="AM1490" s="103"/>
      <c r="AN1490" s="103">
        <v>174</v>
      </c>
      <c r="AO1490" s="103"/>
      <c r="AP1490" s="103"/>
      <c r="AQ1490" s="103"/>
      <c r="AR1490" s="103"/>
      <c r="AS1490" s="103">
        <v>378</v>
      </c>
      <c r="AT1490" s="103"/>
      <c r="AU1490" s="103"/>
      <c r="AV1490" s="103"/>
      <c r="AW1490" s="104" t="str">
        <f>HYPERLINK("http://www.openstreetmap.org/?mlat=36.3725&amp;mlon=43.1892&amp;zoom=12#map=12/36.3725/43.1892","Maplink1")</f>
        <v>Maplink1</v>
      </c>
      <c r="AX1490" s="104" t="str">
        <f>HYPERLINK("https://www.google.iq/maps/search/+36.3725,43.1892/@36.3725,43.1892,14z?hl=en","Maplink2")</f>
        <v>Maplink2</v>
      </c>
      <c r="AY1490" s="104" t="str">
        <f>HYPERLINK("http://www.bing.com/maps/?lvl=14&amp;sty=h&amp;cp=36.3725~43.1892&amp;sp=point.36.3725_43.1892","Maplink3")</f>
        <v>Maplink3</v>
      </c>
    </row>
    <row r="1491" spans="1:51" x14ac:dyDescent="0.2">
      <c r="A1491" s="102">
        <v>17965</v>
      </c>
      <c r="B1491" s="103" t="s">
        <v>35</v>
      </c>
      <c r="C1491" s="103" t="s">
        <v>102</v>
      </c>
      <c r="D1491" s="103" t="s">
        <v>2790</v>
      </c>
      <c r="E1491" s="103" t="s">
        <v>2791</v>
      </c>
      <c r="F1491" s="103">
        <v>35.937047231299999</v>
      </c>
      <c r="G1491" s="103">
        <v>43.319008032699998</v>
      </c>
      <c r="H1491" s="102">
        <v>700</v>
      </c>
      <c r="I1491" s="102">
        <v>4200</v>
      </c>
      <c r="J1491" s="103"/>
      <c r="K1491" s="103"/>
      <c r="L1491" s="103"/>
      <c r="M1491" s="103">
        <v>695</v>
      </c>
      <c r="N1491" s="103">
        <v>5</v>
      </c>
      <c r="O1491" s="103"/>
      <c r="P1491" s="103"/>
      <c r="Q1491" s="103"/>
      <c r="R1491" s="103"/>
      <c r="S1491" s="103"/>
      <c r="T1491" s="103"/>
      <c r="U1491" s="103"/>
      <c r="V1491" s="103"/>
      <c r="W1491" s="103"/>
      <c r="X1491" s="103"/>
      <c r="Y1491" s="103"/>
      <c r="Z1491" s="103"/>
      <c r="AA1491" s="103">
        <v>12</v>
      </c>
      <c r="AB1491" s="103"/>
      <c r="AC1491" s="103">
        <v>5</v>
      </c>
      <c r="AD1491" s="103"/>
      <c r="AE1491" s="103"/>
      <c r="AF1491" s="103"/>
      <c r="AG1491" s="103">
        <v>682</v>
      </c>
      <c r="AH1491" s="103"/>
      <c r="AI1491" s="103"/>
      <c r="AJ1491" s="103">
        <v>1</v>
      </c>
      <c r="AK1491" s="103"/>
      <c r="AL1491" s="103"/>
      <c r="AM1491" s="103"/>
      <c r="AN1491" s="103"/>
      <c r="AO1491" s="103">
        <v>1</v>
      </c>
      <c r="AP1491" s="103">
        <v>15</v>
      </c>
      <c r="AQ1491" s="103"/>
      <c r="AR1491" s="103"/>
      <c r="AS1491" s="103">
        <v>684</v>
      </c>
      <c r="AT1491" s="103"/>
      <c r="AU1491" s="103"/>
      <c r="AV1491" s="103"/>
      <c r="AW1491" s="104" t="str">
        <f>HYPERLINK("http://www.openstreetmap.org/?mlat=35.937&amp;mlon=43.319&amp;zoom=12#map=12/35.937/43.319","Maplink1")</f>
        <v>Maplink1</v>
      </c>
      <c r="AX1491" s="104" t="str">
        <f>HYPERLINK("https://www.google.iq/maps/search/+35.937,43.319/@35.937,43.319,14z?hl=en","Maplink2")</f>
        <v>Maplink2</v>
      </c>
      <c r="AY1491" s="104" t="str">
        <f>HYPERLINK("http://www.bing.com/maps/?lvl=14&amp;sty=h&amp;cp=35.937~43.319&amp;sp=point.35.937_43.319","Maplink3")</f>
        <v>Maplink3</v>
      </c>
    </row>
    <row r="1492" spans="1:51" x14ac:dyDescent="0.2">
      <c r="A1492" s="102">
        <v>29667</v>
      </c>
      <c r="B1492" s="103" t="s">
        <v>35</v>
      </c>
      <c r="C1492" s="103" t="s">
        <v>102</v>
      </c>
      <c r="D1492" s="103" t="s">
        <v>2792</v>
      </c>
      <c r="E1492" s="103" t="s">
        <v>2793</v>
      </c>
      <c r="F1492" s="103">
        <v>35.9086</v>
      </c>
      <c r="G1492" s="103">
        <v>43.319735049599998</v>
      </c>
      <c r="H1492" s="102">
        <v>158</v>
      </c>
      <c r="I1492" s="102">
        <v>948</v>
      </c>
      <c r="J1492" s="103"/>
      <c r="K1492" s="103"/>
      <c r="L1492" s="103"/>
      <c r="M1492" s="103">
        <v>156</v>
      </c>
      <c r="N1492" s="103">
        <v>2</v>
      </c>
      <c r="O1492" s="103"/>
      <c r="P1492" s="103"/>
      <c r="Q1492" s="103"/>
      <c r="R1492" s="103"/>
      <c r="S1492" s="103"/>
      <c r="T1492" s="103"/>
      <c r="U1492" s="103"/>
      <c r="V1492" s="103"/>
      <c r="W1492" s="103"/>
      <c r="X1492" s="103"/>
      <c r="Y1492" s="103">
        <v>1</v>
      </c>
      <c r="Z1492" s="103"/>
      <c r="AA1492" s="103"/>
      <c r="AB1492" s="103"/>
      <c r="AC1492" s="103"/>
      <c r="AD1492" s="103"/>
      <c r="AE1492" s="103"/>
      <c r="AF1492" s="103"/>
      <c r="AG1492" s="103">
        <v>157</v>
      </c>
      <c r="AH1492" s="103"/>
      <c r="AI1492" s="103"/>
      <c r="AJ1492" s="103"/>
      <c r="AK1492" s="103"/>
      <c r="AL1492" s="103"/>
      <c r="AM1492" s="103"/>
      <c r="AN1492" s="103">
        <v>1</v>
      </c>
      <c r="AO1492" s="103"/>
      <c r="AP1492" s="103"/>
      <c r="AQ1492" s="103"/>
      <c r="AR1492" s="103"/>
      <c r="AS1492" s="103">
        <v>157</v>
      </c>
      <c r="AT1492" s="103"/>
      <c r="AU1492" s="103"/>
      <c r="AV1492" s="103"/>
      <c r="AW1492" s="104" t="str">
        <f>HYPERLINK("http://www.openstreetmap.org/?mlat=35.9086&amp;mlon=43.3197&amp;zoom=12#map=12/35.9086/43.3197","Maplink1")</f>
        <v>Maplink1</v>
      </c>
      <c r="AX1492" s="104" t="str">
        <f>HYPERLINK("https://www.google.iq/maps/search/+35.9086,43.3197/@35.9086,43.3197,14z?hl=en","Maplink2")</f>
        <v>Maplink2</v>
      </c>
      <c r="AY1492" s="104" t="str">
        <f>HYPERLINK("http://www.bing.com/maps/?lvl=14&amp;sty=h&amp;cp=35.9086~43.3197&amp;sp=point.35.9086_43.3197","Maplink3")</f>
        <v>Maplink3</v>
      </c>
    </row>
    <row r="1493" spans="1:51" x14ac:dyDescent="0.2">
      <c r="A1493" s="102">
        <v>17880</v>
      </c>
      <c r="B1493" s="103" t="s">
        <v>35</v>
      </c>
      <c r="C1493" s="103" t="s">
        <v>102</v>
      </c>
      <c r="D1493" s="103" t="s">
        <v>2794</v>
      </c>
      <c r="E1493" s="103" t="s">
        <v>2795</v>
      </c>
      <c r="F1493" s="103">
        <v>35.9686408496</v>
      </c>
      <c r="G1493" s="103">
        <v>43.2990025788</v>
      </c>
      <c r="H1493" s="102">
        <v>300</v>
      </c>
      <c r="I1493" s="102">
        <v>1800</v>
      </c>
      <c r="J1493" s="103"/>
      <c r="K1493" s="103"/>
      <c r="L1493" s="103"/>
      <c r="M1493" s="103">
        <v>300</v>
      </c>
      <c r="N1493" s="103"/>
      <c r="O1493" s="103"/>
      <c r="P1493" s="103"/>
      <c r="Q1493" s="103"/>
      <c r="R1493" s="103"/>
      <c r="S1493" s="103"/>
      <c r="T1493" s="103"/>
      <c r="U1493" s="103"/>
      <c r="V1493" s="103"/>
      <c r="W1493" s="103"/>
      <c r="X1493" s="103"/>
      <c r="Y1493" s="103"/>
      <c r="Z1493" s="103"/>
      <c r="AA1493" s="103"/>
      <c r="AB1493" s="103"/>
      <c r="AC1493" s="103"/>
      <c r="AD1493" s="103"/>
      <c r="AE1493" s="103"/>
      <c r="AF1493" s="103"/>
      <c r="AG1493" s="103">
        <v>300</v>
      </c>
      <c r="AH1493" s="103"/>
      <c r="AI1493" s="103"/>
      <c r="AJ1493" s="103"/>
      <c r="AK1493" s="103"/>
      <c r="AL1493" s="103"/>
      <c r="AM1493" s="103"/>
      <c r="AN1493" s="103"/>
      <c r="AO1493" s="103"/>
      <c r="AP1493" s="103"/>
      <c r="AQ1493" s="103"/>
      <c r="AR1493" s="103"/>
      <c r="AS1493" s="103">
        <v>300</v>
      </c>
      <c r="AT1493" s="103"/>
      <c r="AU1493" s="103"/>
      <c r="AV1493" s="103"/>
      <c r="AW1493" s="104" t="str">
        <f>HYPERLINK("http://www.openstreetmap.org/?mlat=35.9686&amp;mlon=43.299&amp;zoom=12#map=12/35.9686/43.299","Maplink1")</f>
        <v>Maplink1</v>
      </c>
      <c r="AX1493" s="104" t="str">
        <f>HYPERLINK("https://www.google.iq/maps/search/+35.9686,43.299/@35.9686,43.299,14z?hl=en","Maplink2")</f>
        <v>Maplink2</v>
      </c>
      <c r="AY1493" s="104" t="str">
        <f>HYPERLINK("http://www.bing.com/maps/?lvl=14&amp;sty=h&amp;cp=35.9686~43.299&amp;sp=point.35.9686_43.299","Maplink3")</f>
        <v>Maplink3</v>
      </c>
    </row>
    <row r="1494" spans="1:51" x14ac:dyDescent="0.2">
      <c r="A1494" s="102">
        <v>31893</v>
      </c>
      <c r="B1494" s="103" t="s">
        <v>35</v>
      </c>
      <c r="C1494" s="103" t="s">
        <v>102</v>
      </c>
      <c r="D1494" s="103" t="s">
        <v>2796</v>
      </c>
      <c r="E1494" s="103" t="s">
        <v>2797</v>
      </c>
      <c r="F1494" s="103">
        <v>35.907031000000003</v>
      </c>
      <c r="G1494" s="103">
        <v>43.062997000000003</v>
      </c>
      <c r="H1494" s="102">
        <v>111</v>
      </c>
      <c r="I1494" s="102">
        <v>666</v>
      </c>
      <c r="J1494" s="103"/>
      <c r="K1494" s="103"/>
      <c r="L1494" s="103"/>
      <c r="M1494" s="103">
        <v>107</v>
      </c>
      <c r="N1494" s="103">
        <v>4</v>
      </c>
      <c r="O1494" s="103"/>
      <c r="P1494" s="103"/>
      <c r="Q1494" s="103"/>
      <c r="R1494" s="103"/>
      <c r="S1494" s="103"/>
      <c r="T1494" s="103"/>
      <c r="U1494" s="103"/>
      <c r="V1494" s="103"/>
      <c r="W1494" s="103"/>
      <c r="X1494" s="103"/>
      <c r="Y1494" s="103"/>
      <c r="Z1494" s="103"/>
      <c r="AA1494" s="103">
        <v>11</v>
      </c>
      <c r="AB1494" s="103"/>
      <c r="AC1494" s="103"/>
      <c r="AD1494" s="103"/>
      <c r="AE1494" s="103"/>
      <c r="AF1494" s="103"/>
      <c r="AG1494" s="103">
        <v>100</v>
      </c>
      <c r="AH1494" s="103"/>
      <c r="AI1494" s="103"/>
      <c r="AJ1494" s="103"/>
      <c r="AK1494" s="103"/>
      <c r="AL1494" s="103"/>
      <c r="AM1494" s="103"/>
      <c r="AN1494" s="103">
        <v>10</v>
      </c>
      <c r="AO1494" s="103"/>
      <c r="AP1494" s="103"/>
      <c r="AQ1494" s="103"/>
      <c r="AR1494" s="103">
        <v>101</v>
      </c>
      <c r="AS1494" s="103"/>
      <c r="AT1494" s="103"/>
      <c r="AU1494" s="103"/>
      <c r="AV1494" s="103"/>
      <c r="AW1494" s="104" t="str">
        <f>HYPERLINK("http://www.openstreetmap.org/?mlat=35.907&amp;mlon=43.063&amp;zoom=12#map=12/35.907/43.063","Maplink1")</f>
        <v>Maplink1</v>
      </c>
      <c r="AX1494" s="104" t="str">
        <f>HYPERLINK("https://www.google.iq/maps/search/+35.907,43.063/@35.907,43.063,14z?hl=en","Maplink2")</f>
        <v>Maplink2</v>
      </c>
      <c r="AY1494" s="104" t="str">
        <f>HYPERLINK("http://www.bing.com/maps/?lvl=14&amp;sty=h&amp;cp=35.907~43.063&amp;sp=point.35.907_43.063","Maplink3")</f>
        <v>Maplink3</v>
      </c>
    </row>
    <row r="1495" spans="1:51" x14ac:dyDescent="0.2">
      <c r="A1495" s="102">
        <v>33202</v>
      </c>
      <c r="B1495" s="103" t="s">
        <v>35</v>
      </c>
      <c r="C1495" s="103" t="s">
        <v>102</v>
      </c>
      <c r="D1495" s="103" t="s">
        <v>2798</v>
      </c>
      <c r="E1495" s="103" t="s">
        <v>2799</v>
      </c>
      <c r="F1495" s="103">
        <v>36.215060000000001</v>
      </c>
      <c r="G1495" s="103">
        <v>42.831422833600001</v>
      </c>
      <c r="H1495" s="102">
        <v>40</v>
      </c>
      <c r="I1495" s="102">
        <v>240</v>
      </c>
      <c r="J1495" s="103"/>
      <c r="K1495" s="103"/>
      <c r="L1495" s="103"/>
      <c r="M1495" s="103">
        <v>40</v>
      </c>
      <c r="N1495" s="103"/>
      <c r="O1495" s="103"/>
      <c r="P1495" s="103"/>
      <c r="Q1495" s="103"/>
      <c r="R1495" s="103"/>
      <c r="S1495" s="103"/>
      <c r="T1495" s="103"/>
      <c r="U1495" s="103"/>
      <c r="V1495" s="103"/>
      <c r="W1495" s="103"/>
      <c r="X1495" s="103"/>
      <c r="Y1495" s="103"/>
      <c r="Z1495" s="103"/>
      <c r="AA1495" s="103"/>
      <c r="AB1495" s="103"/>
      <c r="AC1495" s="103"/>
      <c r="AD1495" s="103"/>
      <c r="AE1495" s="103"/>
      <c r="AF1495" s="103"/>
      <c r="AG1495" s="103">
        <v>40</v>
      </c>
      <c r="AH1495" s="103"/>
      <c r="AI1495" s="103"/>
      <c r="AJ1495" s="103"/>
      <c r="AK1495" s="103"/>
      <c r="AL1495" s="103"/>
      <c r="AM1495" s="103"/>
      <c r="AN1495" s="103"/>
      <c r="AO1495" s="103"/>
      <c r="AP1495" s="103"/>
      <c r="AQ1495" s="103"/>
      <c r="AR1495" s="103"/>
      <c r="AS1495" s="103">
        <v>40</v>
      </c>
      <c r="AT1495" s="103"/>
      <c r="AU1495" s="103"/>
      <c r="AV1495" s="103"/>
      <c r="AW1495" s="104" t="str">
        <f>HYPERLINK("http://www.openstreetmap.org/?mlat=36.2151&amp;mlon=42.8314&amp;zoom=12#map=12/36.2151/42.8314","Maplink1")</f>
        <v>Maplink1</v>
      </c>
      <c r="AX1495" s="104" t="str">
        <f>HYPERLINK("https://www.google.iq/maps/search/+36.2151,42.8314/@36.2151,42.8314,14z?hl=en","Maplink2")</f>
        <v>Maplink2</v>
      </c>
      <c r="AY1495" s="104" t="str">
        <f>HYPERLINK("http://www.bing.com/maps/?lvl=14&amp;sty=h&amp;cp=36.2151~42.8314&amp;sp=point.36.2151_42.8314","Maplink3")</f>
        <v>Maplink3</v>
      </c>
    </row>
    <row r="1496" spans="1:51" x14ac:dyDescent="0.2">
      <c r="A1496" s="102">
        <v>33234</v>
      </c>
      <c r="B1496" s="103" t="s">
        <v>35</v>
      </c>
      <c r="C1496" s="103" t="s">
        <v>102</v>
      </c>
      <c r="D1496" s="103" t="s">
        <v>2800</v>
      </c>
      <c r="E1496" s="103" t="s">
        <v>2801</v>
      </c>
      <c r="F1496" s="103">
        <v>36.458519000000003</v>
      </c>
      <c r="G1496" s="103">
        <v>42.702728522199997</v>
      </c>
      <c r="H1496" s="102">
        <v>29</v>
      </c>
      <c r="I1496" s="102">
        <v>174</v>
      </c>
      <c r="J1496" s="103"/>
      <c r="K1496" s="103"/>
      <c r="L1496" s="103"/>
      <c r="M1496" s="103">
        <v>19</v>
      </c>
      <c r="N1496" s="103">
        <v>10</v>
      </c>
      <c r="O1496" s="103"/>
      <c r="P1496" s="103"/>
      <c r="Q1496" s="103"/>
      <c r="R1496" s="103"/>
      <c r="S1496" s="103"/>
      <c r="T1496" s="103"/>
      <c r="U1496" s="103"/>
      <c r="V1496" s="103"/>
      <c r="W1496" s="103"/>
      <c r="X1496" s="103"/>
      <c r="Y1496" s="103"/>
      <c r="Z1496" s="103"/>
      <c r="AA1496" s="103"/>
      <c r="AB1496" s="103"/>
      <c r="AC1496" s="103"/>
      <c r="AD1496" s="103"/>
      <c r="AE1496" s="103"/>
      <c r="AF1496" s="103"/>
      <c r="AG1496" s="103">
        <v>29</v>
      </c>
      <c r="AH1496" s="103"/>
      <c r="AI1496" s="103"/>
      <c r="AJ1496" s="103"/>
      <c r="AK1496" s="103"/>
      <c r="AL1496" s="103"/>
      <c r="AM1496" s="103"/>
      <c r="AN1496" s="103"/>
      <c r="AO1496" s="103"/>
      <c r="AP1496" s="103"/>
      <c r="AQ1496" s="103"/>
      <c r="AR1496" s="103"/>
      <c r="AS1496" s="103"/>
      <c r="AT1496" s="103">
        <v>29</v>
      </c>
      <c r="AU1496" s="103"/>
      <c r="AV1496" s="103"/>
      <c r="AW1496" s="104" t="str">
        <f>HYPERLINK("http://www.openstreetmap.org/?mlat=36.4585&amp;mlon=42.7027&amp;zoom=12#map=12/36.4585/42.7027","Maplink1")</f>
        <v>Maplink1</v>
      </c>
      <c r="AX1496" s="104" t="str">
        <f>HYPERLINK("https://www.google.iq/maps/search/+36.4585,42.7027/@36.4585,42.7027,14z?hl=en","Maplink2")</f>
        <v>Maplink2</v>
      </c>
      <c r="AY1496" s="104" t="str">
        <f>HYPERLINK("http://www.bing.com/maps/?lvl=14&amp;sty=h&amp;cp=36.4585~42.7027&amp;sp=point.36.4585_42.7027","Maplink3")</f>
        <v>Maplink3</v>
      </c>
    </row>
    <row r="1497" spans="1:51" x14ac:dyDescent="0.2">
      <c r="A1497" s="102">
        <v>31704</v>
      </c>
      <c r="B1497" s="103" t="s">
        <v>35</v>
      </c>
      <c r="C1497" s="103" t="s">
        <v>102</v>
      </c>
      <c r="D1497" s="103" t="s">
        <v>2480</v>
      </c>
      <c r="E1497" s="103" t="s">
        <v>2481</v>
      </c>
      <c r="F1497" s="103">
        <v>35.739891738899999</v>
      </c>
      <c r="G1497" s="103">
        <v>43.279289491500002</v>
      </c>
      <c r="H1497" s="102">
        <v>550</v>
      </c>
      <c r="I1497" s="102">
        <v>3300</v>
      </c>
      <c r="J1497" s="103"/>
      <c r="K1497" s="103"/>
      <c r="L1497" s="103"/>
      <c r="M1497" s="103">
        <v>540</v>
      </c>
      <c r="N1497" s="103">
        <v>10</v>
      </c>
      <c r="O1497" s="103"/>
      <c r="P1497" s="103"/>
      <c r="Q1497" s="103"/>
      <c r="R1497" s="103"/>
      <c r="S1497" s="103"/>
      <c r="T1497" s="103"/>
      <c r="U1497" s="103"/>
      <c r="V1497" s="103"/>
      <c r="W1497" s="103"/>
      <c r="X1497" s="103"/>
      <c r="Y1497" s="103"/>
      <c r="Z1497" s="103"/>
      <c r="AA1497" s="103">
        <v>475</v>
      </c>
      <c r="AB1497" s="103"/>
      <c r="AC1497" s="103">
        <v>75</v>
      </c>
      <c r="AD1497" s="103"/>
      <c r="AE1497" s="103"/>
      <c r="AF1497" s="103"/>
      <c r="AG1497" s="103"/>
      <c r="AH1497" s="103"/>
      <c r="AI1497" s="103"/>
      <c r="AJ1497" s="103"/>
      <c r="AK1497" s="103"/>
      <c r="AL1497" s="103"/>
      <c r="AM1497" s="103"/>
      <c r="AN1497" s="103"/>
      <c r="AO1497" s="103"/>
      <c r="AP1497" s="103"/>
      <c r="AQ1497" s="103"/>
      <c r="AR1497" s="103">
        <v>550</v>
      </c>
      <c r="AS1497" s="103"/>
      <c r="AT1497" s="103"/>
      <c r="AU1497" s="103"/>
      <c r="AV1497" s="103"/>
      <c r="AW1497" s="104" t="str">
        <f>HYPERLINK("http://www.openstreetmap.org/?mlat=35.7399&amp;mlon=43.2793&amp;zoom=12#map=12/35.7399/43.2793","Maplink1")</f>
        <v>Maplink1</v>
      </c>
      <c r="AX1497" s="104" t="str">
        <f>HYPERLINK("https://www.google.iq/maps/search/+35.7399,43.2793/@35.7399,43.2793,14z?hl=en","Maplink2")</f>
        <v>Maplink2</v>
      </c>
      <c r="AY1497" s="104" t="str">
        <f>HYPERLINK("http://www.bing.com/maps/?lvl=14&amp;sty=h&amp;cp=35.7399~43.2793&amp;sp=point.35.7399_43.2793","Maplink3")</f>
        <v>Maplink3</v>
      </c>
    </row>
    <row r="1498" spans="1:51" x14ac:dyDescent="0.2">
      <c r="A1498" s="102">
        <v>17180</v>
      </c>
      <c r="B1498" s="103" t="s">
        <v>35</v>
      </c>
      <c r="C1498" s="103" t="s">
        <v>102</v>
      </c>
      <c r="D1498" s="103" t="s">
        <v>2482</v>
      </c>
      <c r="E1498" s="103" t="s">
        <v>2483</v>
      </c>
      <c r="F1498" s="103">
        <v>36.432281298900001</v>
      </c>
      <c r="G1498" s="103">
        <v>42.8617689728</v>
      </c>
      <c r="H1498" s="102">
        <v>53</v>
      </c>
      <c r="I1498" s="102">
        <v>318</v>
      </c>
      <c r="J1498" s="103"/>
      <c r="K1498" s="103"/>
      <c r="L1498" s="103"/>
      <c r="M1498" s="103">
        <v>42</v>
      </c>
      <c r="N1498" s="103">
        <v>11</v>
      </c>
      <c r="O1498" s="103"/>
      <c r="P1498" s="103"/>
      <c r="Q1498" s="103"/>
      <c r="R1498" s="103"/>
      <c r="S1498" s="103"/>
      <c r="T1498" s="103"/>
      <c r="U1498" s="103"/>
      <c r="V1498" s="103"/>
      <c r="W1498" s="103"/>
      <c r="X1498" s="103"/>
      <c r="Y1498" s="103"/>
      <c r="Z1498" s="103"/>
      <c r="AA1498" s="103"/>
      <c r="AB1498" s="103"/>
      <c r="AC1498" s="103"/>
      <c r="AD1498" s="103"/>
      <c r="AE1498" s="103"/>
      <c r="AF1498" s="103"/>
      <c r="AG1498" s="103">
        <v>53</v>
      </c>
      <c r="AH1498" s="103"/>
      <c r="AI1498" s="103"/>
      <c r="AJ1498" s="103"/>
      <c r="AK1498" s="103"/>
      <c r="AL1498" s="103"/>
      <c r="AM1498" s="103"/>
      <c r="AN1498" s="103"/>
      <c r="AO1498" s="103"/>
      <c r="AP1498" s="103"/>
      <c r="AQ1498" s="103"/>
      <c r="AR1498" s="103"/>
      <c r="AS1498" s="103">
        <v>53</v>
      </c>
      <c r="AT1498" s="103"/>
      <c r="AU1498" s="103"/>
      <c r="AV1498" s="103"/>
      <c r="AW1498" s="104" t="str">
        <f>HYPERLINK("http://www.openstreetmap.org/?mlat=36.4323&amp;mlon=42.8618&amp;zoom=12#map=12/36.4323/42.8618","Maplink1")</f>
        <v>Maplink1</v>
      </c>
      <c r="AX1498" s="104" t="str">
        <f>HYPERLINK("https://www.google.iq/maps/search/+36.4323,42.8618/@36.4323,42.8618,14z?hl=en","Maplink2")</f>
        <v>Maplink2</v>
      </c>
      <c r="AY1498" s="104" t="str">
        <f>HYPERLINK("http://www.bing.com/maps/?lvl=14&amp;sty=h&amp;cp=36.4323~42.8618&amp;sp=point.36.4323_42.8618","Maplink3")</f>
        <v>Maplink3</v>
      </c>
    </row>
    <row r="1499" spans="1:51" x14ac:dyDescent="0.2">
      <c r="A1499" s="102">
        <v>33250</v>
      </c>
      <c r="B1499" s="103" t="s">
        <v>35</v>
      </c>
      <c r="C1499" s="103" t="s">
        <v>102</v>
      </c>
      <c r="D1499" s="103" t="s">
        <v>2484</v>
      </c>
      <c r="E1499" s="103" t="s">
        <v>2485</v>
      </c>
      <c r="F1499" s="103">
        <v>36.339454958099999</v>
      </c>
      <c r="G1499" s="103">
        <v>43.096987118900003</v>
      </c>
      <c r="H1499" s="102">
        <v>1210</v>
      </c>
      <c r="I1499" s="102">
        <v>7260</v>
      </c>
      <c r="J1499" s="103"/>
      <c r="K1499" s="103"/>
      <c r="L1499" s="103"/>
      <c r="M1499" s="103">
        <v>1210</v>
      </c>
      <c r="N1499" s="103"/>
      <c r="O1499" s="103"/>
      <c r="P1499" s="103"/>
      <c r="Q1499" s="103"/>
      <c r="R1499" s="103"/>
      <c r="S1499" s="103"/>
      <c r="T1499" s="103"/>
      <c r="U1499" s="103"/>
      <c r="V1499" s="103"/>
      <c r="W1499" s="103"/>
      <c r="X1499" s="103"/>
      <c r="Y1499" s="103"/>
      <c r="Z1499" s="103"/>
      <c r="AA1499" s="103"/>
      <c r="AB1499" s="103"/>
      <c r="AC1499" s="103"/>
      <c r="AD1499" s="103"/>
      <c r="AE1499" s="103"/>
      <c r="AF1499" s="103"/>
      <c r="AG1499" s="103">
        <v>1210</v>
      </c>
      <c r="AH1499" s="103"/>
      <c r="AI1499" s="103"/>
      <c r="AJ1499" s="103"/>
      <c r="AK1499" s="103"/>
      <c r="AL1499" s="103"/>
      <c r="AM1499" s="103"/>
      <c r="AN1499" s="103"/>
      <c r="AO1499" s="103"/>
      <c r="AP1499" s="103"/>
      <c r="AQ1499" s="103"/>
      <c r="AR1499" s="103"/>
      <c r="AS1499" s="103">
        <v>1210</v>
      </c>
      <c r="AT1499" s="103"/>
      <c r="AU1499" s="103"/>
      <c r="AV1499" s="103"/>
      <c r="AW1499" s="104" t="str">
        <f>HYPERLINK("http://www.openstreetmap.org/?mlat=36.3395&amp;mlon=43.097&amp;zoom=12#map=12/36.3395/43.097","Maplink1")</f>
        <v>Maplink1</v>
      </c>
      <c r="AX1499" s="104" t="str">
        <f>HYPERLINK("https://www.google.iq/maps/search/+36.3395,43.097/@36.3395,43.097,14z?hl=en","Maplink2")</f>
        <v>Maplink2</v>
      </c>
      <c r="AY1499" s="104" t="str">
        <f>HYPERLINK("http://www.bing.com/maps/?lvl=14&amp;sty=h&amp;cp=36.3395~43.097&amp;sp=point.36.3395_43.097","Maplink3")</f>
        <v>Maplink3</v>
      </c>
    </row>
    <row r="1500" spans="1:51" x14ac:dyDescent="0.2">
      <c r="A1500" s="102">
        <v>33307</v>
      </c>
      <c r="B1500" s="103" t="s">
        <v>35</v>
      </c>
      <c r="C1500" s="103" t="s">
        <v>102</v>
      </c>
      <c r="D1500" s="103" t="s">
        <v>2486</v>
      </c>
      <c r="E1500" s="103" t="s">
        <v>2487</v>
      </c>
      <c r="F1500" s="103">
        <v>36.337510000000002</v>
      </c>
      <c r="G1500" s="103">
        <v>43.126179883900001</v>
      </c>
      <c r="H1500" s="102">
        <v>277</v>
      </c>
      <c r="I1500" s="102">
        <v>1662</v>
      </c>
      <c r="J1500" s="103"/>
      <c r="K1500" s="103"/>
      <c r="L1500" s="103"/>
      <c r="M1500" s="103">
        <v>277</v>
      </c>
      <c r="N1500" s="103"/>
      <c r="O1500" s="103"/>
      <c r="P1500" s="103"/>
      <c r="Q1500" s="103"/>
      <c r="R1500" s="103"/>
      <c r="S1500" s="103"/>
      <c r="T1500" s="103"/>
      <c r="U1500" s="103"/>
      <c r="V1500" s="103"/>
      <c r="W1500" s="103"/>
      <c r="X1500" s="103"/>
      <c r="Y1500" s="103"/>
      <c r="Z1500" s="103"/>
      <c r="AA1500" s="103"/>
      <c r="AB1500" s="103"/>
      <c r="AC1500" s="103"/>
      <c r="AD1500" s="103"/>
      <c r="AE1500" s="103"/>
      <c r="AF1500" s="103"/>
      <c r="AG1500" s="103">
        <v>277</v>
      </c>
      <c r="AH1500" s="103"/>
      <c r="AI1500" s="103"/>
      <c r="AJ1500" s="103"/>
      <c r="AK1500" s="103"/>
      <c r="AL1500" s="103"/>
      <c r="AM1500" s="103"/>
      <c r="AN1500" s="103"/>
      <c r="AO1500" s="103"/>
      <c r="AP1500" s="103"/>
      <c r="AQ1500" s="103"/>
      <c r="AR1500" s="103"/>
      <c r="AS1500" s="103">
        <v>277</v>
      </c>
      <c r="AT1500" s="103"/>
      <c r="AU1500" s="103"/>
      <c r="AV1500" s="103"/>
      <c r="AW1500" s="104" t="str">
        <f>HYPERLINK("http://www.openstreetmap.org/?mlat=36.3375&amp;mlon=43.1262&amp;zoom=12#map=12/36.3375/43.1262","Maplink1")</f>
        <v>Maplink1</v>
      </c>
      <c r="AX1500" s="104" t="str">
        <f>HYPERLINK("https://www.google.iq/maps/search/+36.3375,43.1262/@36.3375,43.1262,14z?hl=en","Maplink2")</f>
        <v>Maplink2</v>
      </c>
      <c r="AY1500" s="104" t="str">
        <f>HYPERLINK("http://www.bing.com/maps/?lvl=14&amp;sty=h&amp;cp=36.3375~43.1262&amp;sp=point.36.3375_43.1262","Maplink3")</f>
        <v>Maplink3</v>
      </c>
    </row>
    <row r="1501" spans="1:51" x14ac:dyDescent="0.2">
      <c r="A1501" s="102">
        <v>33497</v>
      </c>
      <c r="B1501" s="103" t="s">
        <v>35</v>
      </c>
      <c r="C1501" s="103" t="s">
        <v>102</v>
      </c>
      <c r="D1501" s="103" t="s">
        <v>2488</v>
      </c>
      <c r="E1501" s="103" t="s">
        <v>2489</v>
      </c>
      <c r="F1501" s="103">
        <v>35.925578999999999</v>
      </c>
      <c r="G1501" s="103">
        <v>43.287161340700003</v>
      </c>
      <c r="H1501" s="102">
        <v>100</v>
      </c>
      <c r="I1501" s="102">
        <v>600</v>
      </c>
      <c r="J1501" s="103"/>
      <c r="K1501" s="103"/>
      <c r="L1501" s="103"/>
      <c r="M1501" s="103">
        <v>94</v>
      </c>
      <c r="N1501" s="103">
        <v>6</v>
      </c>
      <c r="O1501" s="103"/>
      <c r="P1501" s="103"/>
      <c r="Q1501" s="103"/>
      <c r="R1501" s="103"/>
      <c r="S1501" s="103"/>
      <c r="T1501" s="103"/>
      <c r="U1501" s="103"/>
      <c r="V1501" s="103"/>
      <c r="W1501" s="103"/>
      <c r="X1501" s="103"/>
      <c r="Y1501" s="103"/>
      <c r="Z1501" s="103"/>
      <c r="AA1501" s="103"/>
      <c r="AB1501" s="103"/>
      <c r="AC1501" s="103"/>
      <c r="AD1501" s="103"/>
      <c r="AE1501" s="103"/>
      <c r="AF1501" s="103"/>
      <c r="AG1501" s="103">
        <v>100</v>
      </c>
      <c r="AH1501" s="103"/>
      <c r="AI1501" s="103"/>
      <c r="AJ1501" s="103"/>
      <c r="AK1501" s="103"/>
      <c r="AL1501" s="103"/>
      <c r="AM1501" s="103"/>
      <c r="AN1501" s="103"/>
      <c r="AO1501" s="103"/>
      <c r="AP1501" s="103"/>
      <c r="AQ1501" s="103"/>
      <c r="AR1501" s="103"/>
      <c r="AS1501" s="103">
        <v>100</v>
      </c>
      <c r="AT1501" s="103"/>
      <c r="AU1501" s="103"/>
      <c r="AV1501" s="103"/>
      <c r="AW1501" s="104" t="str">
        <f>HYPERLINK("http://www.openstreetmap.org/?mlat=35.9256&amp;mlon=43.2872&amp;zoom=12#map=12/35.9256/43.2872","Maplink1")</f>
        <v>Maplink1</v>
      </c>
      <c r="AX1501" s="104" t="str">
        <f>HYPERLINK("https://www.google.iq/maps/search/+35.9256,43.2872/@35.9256,43.2872,14z?hl=en","Maplink2")</f>
        <v>Maplink2</v>
      </c>
      <c r="AY1501" s="104" t="str">
        <f>HYPERLINK("http://www.bing.com/maps/?lvl=14&amp;sty=h&amp;cp=35.9256~43.2872&amp;sp=point.35.9256_43.2872","Maplink3")</f>
        <v>Maplink3</v>
      </c>
    </row>
    <row r="1502" spans="1:51" x14ac:dyDescent="0.2">
      <c r="A1502" s="102">
        <v>33498</v>
      </c>
      <c r="B1502" s="103" t="s">
        <v>35</v>
      </c>
      <c r="C1502" s="103" t="s">
        <v>102</v>
      </c>
      <c r="D1502" s="103" t="s">
        <v>2490</v>
      </c>
      <c r="E1502" s="103" t="s">
        <v>2491</v>
      </c>
      <c r="F1502" s="103">
        <v>36.060552999999999</v>
      </c>
      <c r="G1502" s="103">
        <v>43.275122441299999</v>
      </c>
      <c r="H1502" s="102">
        <v>72</v>
      </c>
      <c r="I1502" s="102">
        <v>432</v>
      </c>
      <c r="J1502" s="103"/>
      <c r="K1502" s="103"/>
      <c r="L1502" s="103"/>
      <c r="M1502" s="103">
        <v>72</v>
      </c>
      <c r="N1502" s="103"/>
      <c r="O1502" s="103"/>
      <c r="P1502" s="103"/>
      <c r="Q1502" s="103"/>
      <c r="R1502" s="103"/>
      <c r="S1502" s="103"/>
      <c r="T1502" s="103"/>
      <c r="U1502" s="103"/>
      <c r="V1502" s="103"/>
      <c r="W1502" s="103"/>
      <c r="X1502" s="103"/>
      <c r="Y1502" s="103"/>
      <c r="Z1502" s="103"/>
      <c r="AA1502" s="103"/>
      <c r="AB1502" s="103"/>
      <c r="AC1502" s="103"/>
      <c r="AD1502" s="103"/>
      <c r="AE1502" s="103"/>
      <c r="AF1502" s="103"/>
      <c r="AG1502" s="103">
        <v>72</v>
      </c>
      <c r="AH1502" s="103"/>
      <c r="AI1502" s="103"/>
      <c r="AJ1502" s="103"/>
      <c r="AK1502" s="103"/>
      <c r="AL1502" s="103"/>
      <c r="AM1502" s="103"/>
      <c r="AN1502" s="103"/>
      <c r="AO1502" s="103"/>
      <c r="AP1502" s="103"/>
      <c r="AQ1502" s="103"/>
      <c r="AR1502" s="103"/>
      <c r="AS1502" s="103">
        <v>72</v>
      </c>
      <c r="AT1502" s="103"/>
      <c r="AU1502" s="103"/>
      <c r="AV1502" s="103"/>
      <c r="AW1502" s="104" t="str">
        <f>HYPERLINK("http://www.openstreetmap.org/?mlat=36.0606&amp;mlon=43.2751&amp;zoom=12#map=12/36.0606/43.2751","Maplink1")</f>
        <v>Maplink1</v>
      </c>
      <c r="AX1502" s="104" t="str">
        <f>HYPERLINK("https://www.google.iq/maps/search/+36.0606,43.2751/@36.0606,43.2751,14z?hl=en","Maplink2")</f>
        <v>Maplink2</v>
      </c>
      <c r="AY1502" s="104" t="str">
        <f>HYPERLINK("http://www.bing.com/maps/?lvl=14&amp;sty=h&amp;cp=36.0606~43.2751&amp;sp=point.36.0606_43.2751","Maplink3")</f>
        <v>Maplink3</v>
      </c>
    </row>
    <row r="1503" spans="1:51" x14ac:dyDescent="0.2">
      <c r="A1503" s="102">
        <v>18384</v>
      </c>
      <c r="B1503" s="103" t="s">
        <v>35</v>
      </c>
      <c r="C1503" s="103" t="s">
        <v>102</v>
      </c>
      <c r="D1503" s="103" t="s">
        <v>2013</v>
      </c>
      <c r="E1503" s="103" t="s">
        <v>157</v>
      </c>
      <c r="F1503" s="103">
        <v>36.318806285699999</v>
      </c>
      <c r="G1503" s="103">
        <v>43.1001554391</v>
      </c>
      <c r="H1503" s="102">
        <v>2485</v>
      </c>
      <c r="I1503" s="102">
        <v>14910</v>
      </c>
      <c r="J1503" s="103"/>
      <c r="K1503" s="103"/>
      <c r="L1503" s="103"/>
      <c r="M1503" s="103">
        <v>2485</v>
      </c>
      <c r="N1503" s="103"/>
      <c r="O1503" s="103"/>
      <c r="P1503" s="103"/>
      <c r="Q1503" s="103"/>
      <c r="R1503" s="103"/>
      <c r="S1503" s="103"/>
      <c r="T1503" s="103"/>
      <c r="U1503" s="103"/>
      <c r="V1503" s="103"/>
      <c r="W1503" s="103"/>
      <c r="X1503" s="103"/>
      <c r="Y1503" s="103"/>
      <c r="Z1503" s="103"/>
      <c r="AA1503" s="103"/>
      <c r="AB1503" s="103"/>
      <c r="AC1503" s="103"/>
      <c r="AD1503" s="103"/>
      <c r="AE1503" s="103"/>
      <c r="AF1503" s="103"/>
      <c r="AG1503" s="103">
        <v>2485</v>
      </c>
      <c r="AH1503" s="103"/>
      <c r="AI1503" s="103"/>
      <c r="AJ1503" s="103"/>
      <c r="AK1503" s="103"/>
      <c r="AL1503" s="103"/>
      <c r="AM1503" s="103"/>
      <c r="AN1503" s="103"/>
      <c r="AO1503" s="103"/>
      <c r="AP1503" s="103"/>
      <c r="AQ1503" s="103"/>
      <c r="AR1503" s="103"/>
      <c r="AS1503" s="103">
        <v>2485</v>
      </c>
      <c r="AT1503" s="103"/>
      <c r="AU1503" s="103"/>
      <c r="AV1503" s="103"/>
      <c r="AW1503" s="104" t="str">
        <f>HYPERLINK("http://www.openstreetmap.org/?mlat=36.3188&amp;mlon=43.1002&amp;zoom=12#map=12/36.3188/43.1002","Maplink1")</f>
        <v>Maplink1</v>
      </c>
      <c r="AX1503" s="104" t="str">
        <f>HYPERLINK("https://www.google.iq/maps/search/+36.3188,43.1002/@36.3188,43.1002,14z?hl=en","Maplink2")</f>
        <v>Maplink2</v>
      </c>
      <c r="AY1503" s="104" t="str">
        <f>HYPERLINK("http://www.bing.com/maps/?lvl=14&amp;sty=h&amp;cp=36.3188~43.1002&amp;sp=point.36.3188_43.1002","Maplink3")</f>
        <v>Maplink3</v>
      </c>
    </row>
    <row r="1504" spans="1:51" x14ac:dyDescent="0.2">
      <c r="A1504" s="102">
        <v>18388</v>
      </c>
      <c r="B1504" s="103" t="s">
        <v>35</v>
      </c>
      <c r="C1504" s="103" t="s">
        <v>102</v>
      </c>
      <c r="D1504" s="103" t="s">
        <v>2477</v>
      </c>
      <c r="E1504" s="103" t="s">
        <v>682</v>
      </c>
      <c r="F1504" s="103">
        <v>36.375995530399997</v>
      </c>
      <c r="G1504" s="103">
        <v>43.199093502099998</v>
      </c>
      <c r="H1504" s="102">
        <v>1035</v>
      </c>
      <c r="I1504" s="102">
        <v>6210</v>
      </c>
      <c r="J1504" s="103"/>
      <c r="K1504" s="103"/>
      <c r="L1504" s="103"/>
      <c r="M1504" s="103">
        <v>1035</v>
      </c>
      <c r="N1504" s="103"/>
      <c r="O1504" s="103"/>
      <c r="P1504" s="103"/>
      <c r="Q1504" s="103"/>
      <c r="R1504" s="103"/>
      <c r="S1504" s="103"/>
      <c r="T1504" s="103"/>
      <c r="U1504" s="103"/>
      <c r="V1504" s="103"/>
      <c r="W1504" s="103">
        <v>24</v>
      </c>
      <c r="X1504" s="103"/>
      <c r="Y1504" s="103">
        <v>40</v>
      </c>
      <c r="Z1504" s="103"/>
      <c r="AA1504" s="103">
        <v>43</v>
      </c>
      <c r="AB1504" s="103"/>
      <c r="AC1504" s="103">
        <v>10</v>
      </c>
      <c r="AD1504" s="103"/>
      <c r="AE1504" s="103"/>
      <c r="AF1504" s="103"/>
      <c r="AG1504" s="103">
        <v>916</v>
      </c>
      <c r="AH1504" s="103"/>
      <c r="AI1504" s="103"/>
      <c r="AJ1504" s="103">
        <v>2</v>
      </c>
      <c r="AK1504" s="103"/>
      <c r="AL1504" s="103"/>
      <c r="AM1504" s="103"/>
      <c r="AN1504" s="103">
        <v>119</v>
      </c>
      <c r="AO1504" s="103"/>
      <c r="AP1504" s="103"/>
      <c r="AQ1504" s="103"/>
      <c r="AR1504" s="103"/>
      <c r="AS1504" s="103">
        <v>916</v>
      </c>
      <c r="AT1504" s="103"/>
      <c r="AU1504" s="103"/>
      <c r="AV1504" s="103"/>
      <c r="AW1504" s="104" t="str">
        <f>HYPERLINK("http://www.openstreetmap.org/?mlat=36.376&amp;mlon=43.1991&amp;zoom=12#map=12/36.376/43.1991","Maplink1")</f>
        <v>Maplink1</v>
      </c>
      <c r="AX1504" s="104" t="str">
        <f>HYPERLINK("https://www.google.iq/maps/search/+36.376,43.1991/@36.376,43.1991,14z?hl=en","Maplink2")</f>
        <v>Maplink2</v>
      </c>
      <c r="AY1504" s="104" t="str">
        <f>HYPERLINK("http://www.bing.com/maps/?lvl=14&amp;sty=h&amp;cp=36.376~43.1991&amp;sp=point.36.376_43.1991","Maplink3")</f>
        <v>Maplink3</v>
      </c>
    </row>
    <row r="1505" spans="1:51" x14ac:dyDescent="0.2">
      <c r="A1505" s="102">
        <v>33496</v>
      </c>
      <c r="B1505" s="103" t="s">
        <v>35</v>
      </c>
      <c r="C1505" s="103" t="s">
        <v>102</v>
      </c>
      <c r="D1505" s="103" t="s">
        <v>2478</v>
      </c>
      <c r="E1505" s="103" t="s">
        <v>2479</v>
      </c>
      <c r="F1505" s="103">
        <v>35.927948000000001</v>
      </c>
      <c r="G1505" s="103">
        <v>43.301686703900003</v>
      </c>
      <c r="H1505" s="102">
        <v>700</v>
      </c>
      <c r="I1505" s="102">
        <v>4200</v>
      </c>
      <c r="J1505" s="103"/>
      <c r="K1505" s="103"/>
      <c r="L1505" s="103"/>
      <c r="M1505" s="103">
        <v>700</v>
      </c>
      <c r="N1505" s="103"/>
      <c r="O1505" s="103"/>
      <c r="P1505" s="103"/>
      <c r="Q1505" s="103"/>
      <c r="R1505" s="103"/>
      <c r="S1505" s="103"/>
      <c r="T1505" s="103"/>
      <c r="U1505" s="103"/>
      <c r="V1505" s="103"/>
      <c r="W1505" s="103"/>
      <c r="X1505" s="103"/>
      <c r="Y1505" s="103"/>
      <c r="Z1505" s="103"/>
      <c r="AA1505" s="103"/>
      <c r="AB1505" s="103"/>
      <c r="AC1505" s="103"/>
      <c r="AD1505" s="103"/>
      <c r="AE1505" s="103"/>
      <c r="AF1505" s="103"/>
      <c r="AG1505" s="103">
        <v>700</v>
      </c>
      <c r="AH1505" s="103"/>
      <c r="AI1505" s="103"/>
      <c r="AJ1505" s="103"/>
      <c r="AK1505" s="103"/>
      <c r="AL1505" s="103"/>
      <c r="AM1505" s="103"/>
      <c r="AN1505" s="103"/>
      <c r="AO1505" s="103"/>
      <c r="AP1505" s="103"/>
      <c r="AQ1505" s="103"/>
      <c r="AR1505" s="103"/>
      <c r="AS1505" s="103">
        <v>700</v>
      </c>
      <c r="AT1505" s="103"/>
      <c r="AU1505" s="103"/>
      <c r="AV1505" s="103"/>
      <c r="AW1505" s="104" t="str">
        <f>HYPERLINK("http://www.openstreetmap.org/?mlat=35.9279&amp;mlon=43.3017&amp;zoom=12#map=12/35.9279/43.3017","Maplink1")</f>
        <v>Maplink1</v>
      </c>
      <c r="AX1505" s="104" t="str">
        <f>HYPERLINK("https://www.google.iq/maps/search/+35.9279,43.3017/@35.9279,43.3017,14z?hl=en","Maplink2")</f>
        <v>Maplink2</v>
      </c>
      <c r="AY1505" s="104" t="str">
        <f>HYPERLINK("http://www.bing.com/maps/?lvl=14&amp;sty=h&amp;cp=35.9279~43.3017&amp;sp=point.35.9279_43.3017","Maplink3")</f>
        <v>Maplink3</v>
      </c>
    </row>
    <row r="1506" spans="1:51" x14ac:dyDescent="0.2">
      <c r="A1506" s="102">
        <v>34096</v>
      </c>
      <c r="B1506" s="103" t="s">
        <v>35</v>
      </c>
      <c r="C1506" s="103" t="s">
        <v>102</v>
      </c>
      <c r="D1506" s="103" t="s">
        <v>4005</v>
      </c>
      <c r="E1506" s="103" t="s">
        <v>4006</v>
      </c>
      <c r="F1506" s="103">
        <v>36.062102000000003</v>
      </c>
      <c r="G1506" s="103">
        <v>42.794877999999997</v>
      </c>
      <c r="H1506" s="102">
        <v>52</v>
      </c>
      <c r="I1506" s="102">
        <v>312</v>
      </c>
      <c r="J1506" s="103"/>
      <c r="K1506" s="103"/>
      <c r="L1506" s="103"/>
      <c r="M1506" s="103">
        <v>40</v>
      </c>
      <c r="N1506" s="103">
        <v>12</v>
      </c>
      <c r="O1506" s="103"/>
      <c r="P1506" s="103"/>
      <c r="Q1506" s="103"/>
      <c r="R1506" s="103"/>
      <c r="S1506" s="103"/>
      <c r="T1506" s="103"/>
      <c r="U1506" s="103"/>
      <c r="V1506" s="103"/>
      <c r="W1506" s="103"/>
      <c r="X1506" s="103"/>
      <c r="Y1506" s="103"/>
      <c r="Z1506" s="103"/>
      <c r="AA1506" s="103"/>
      <c r="AB1506" s="103"/>
      <c r="AC1506" s="103"/>
      <c r="AD1506" s="103"/>
      <c r="AE1506" s="103"/>
      <c r="AF1506" s="103"/>
      <c r="AG1506" s="103">
        <v>52</v>
      </c>
      <c r="AH1506" s="103"/>
      <c r="AI1506" s="103"/>
      <c r="AJ1506" s="103"/>
      <c r="AK1506" s="103"/>
      <c r="AL1506" s="103"/>
      <c r="AM1506" s="103"/>
      <c r="AN1506" s="103"/>
      <c r="AO1506" s="103"/>
      <c r="AP1506" s="103"/>
      <c r="AQ1506" s="103"/>
      <c r="AR1506" s="103"/>
      <c r="AS1506" s="103">
        <v>52</v>
      </c>
      <c r="AT1506" s="103"/>
      <c r="AU1506" s="103"/>
      <c r="AV1506" s="103"/>
      <c r="AW1506" s="104" t="str">
        <f>HYPERLINK("http://www.openstreetmap.org/?mlat=36.0621&amp;mlon=42.7949&amp;zoom=12#map=12/36.0621/42.7949","Maplink1")</f>
        <v>Maplink1</v>
      </c>
      <c r="AX1506" s="104" t="str">
        <f>HYPERLINK("https://www.google.iq/maps/search/+36.0621,42.7949/@36.0621,42.7949,14z?hl=en","Maplink2")</f>
        <v>Maplink2</v>
      </c>
      <c r="AY1506" s="104" t="str">
        <f>HYPERLINK("http://www.bing.com/maps/?lvl=14&amp;sty=h&amp;cp=36.0621~42.7949&amp;sp=point.36.0621_42.7949","Maplink3")</f>
        <v>Maplink3</v>
      </c>
    </row>
    <row r="1507" spans="1:51" x14ac:dyDescent="0.2">
      <c r="A1507" s="102">
        <v>24379</v>
      </c>
      <c r="B1507" s="103" t="s">
        <v>35</v>
      </c>
      <c r="C1507" s="103" t="s">
        <v>102</v>
      </c>
      <c r="D1507" s="103" t="s">
        <v>2726</v>
      </c>
      <c r="E1507" s="103" t="s">
        <v>2727</v>
      </c>
      <c r="F1507" s="103">
        <v>36.403925999999998</v>
      </c>
      <c r="G1507" s="103">
        <v>43.283359921900001</v>
      </c>
      <c r="H1507" s="102">
        <v>170</v>
      </c>
      <c r="I1507" s="102">
        <v>1020</v>
      </c>
      <c r="J1507" s="103"/>
      <c r="K1507" s="103"/>
      <c r="L1507" s="103"/>
      <c r="M1507" s="103">
        <v>170</v>
      </c>
      <c r="N1507" s="103"/>
      <c r="O1507" s="103"/>
      <c r="P1507" s="103"/>
      <c r="Q1507" s="103"/>
      <c r="R1507" s="103"/>
      <c r="S1507" s="103"/>
      <c r="T1507" s="103"/>
      <c r="U1507" s="103"/>
      <c r="V1507" s="103"/>
      <c r="W1507" s="103">
        <v>2</v>
      </c>
      <c r="X1507" s="103"/>
      <c r="Y1507" s="103">
        <v>20</v>
      </c>
      <c r="Z1507" s="103"/>
      <c r="AA1507" s="103">
        <v>50</v>
      </c>
      <c r="AB1507" s="103">
        <v>9</v>
      </c>
      <c r="AC1507" s="103"/>
      <c r="AD1507" s="103"/>
      <c r="AE1507" s="103"/>
      <c r="AF1507" s="103"/>
      <c r="AG1507" s="103">
        <v>83</v>
      </c>
      <c r="AH1507" s="103"/>
      <c r="AI1507" s="103"/>
      <c r="AJ1507" s="103">
        <v>6</v>
      </c>
      <c r="AK1507" s="103"/>
      <c r="AL1507" s="103"/>
      <c r="AM1507" s="103"/>
      <c r="AN1507" s="103"/>
      <c r="AO1507" s="103">
        <v>170</v>
      </c>
      <c r="AP1507" s="103"/>
      <c r="AQ1507" s="103"/>
      <c r="AR1507" s="103"/>
      <c r="AS1507" s="103"/>
      <c r="AT1507" s="103"/>
      <c r="AU1507" s="103"/>
      <c r="AV1507" s="103"/>
      <c r="AW1507" s="104" t="str">
        <f>HYPERLINK("http://www.openstreetmap.org/?mlat=36.4039&amp;mlon=43.2834&amp;zoom=12#map=12/36.4039/43.2834","Maplink1")</f>
        <v>Maplink1</v>
      </c>
      <c r="AX1507" s="104" t="str">
        <f>HYPERLINK("https://www.google.iq/maps/search/+36.4039,43.2834/@36.4039,43.2834,14z?hl=en","Maplink2")</f>
        <v>Maplink2</v>
      </c>
      <c r="AY1507" s="104" t="str">
        <f>HYPERLINK("http://www.bing.com/maps/?lvl=14&amp;sty=h&amp;cp=36.4039~43.2834&amp;sp=point.36.4039_43.2834","Maplink3")</f>
        <v>Maplink3</v>
      </c>
    </row>
    <row r="1508" spans="1:51" x14ac:dyDescent="0.2">
      <c r="A1508" s="102">
        <v>25812</v>
      </c>
      <c r="B1508" s="103" t="s">
        <v>35</v>
      </c>
      <c r="C1508" s="103" t="s">
        <v>102</v>
      </c>
      <c r="D1508" s="103" t="s">
        <v>2728</v>
      </c>
      <c r="E1508" s="103" t="s">
        <v>2729</v>
      </c>
      <c r="F1508" s="103">
        <v>36.472342210000001</v>
      </c>
      <c r="G1508" s="103">
        <v>43.4353635234</v>
      </c>
      <c r="H1508" s="102">
        <v>52</v>
      </c>
      <c r="I1508" s="102">
        <v>312</v>
      </c>
      <c r="J1508" s="103"/>
      <c r="K1508" s="103"/>
      <c r="L1508" s="103"/>
      <c r="M1508" s="103">
        <v>52</v>
      </c>
      <c r="N1508" s="103"/>
      <c r="O1508" s="103"/>
      <c r="P1508" s="103"/>
      <c r="Q1508" s="103"/>
      <c r="R1508" s="103"/>
      <c r="S1508" s="103"/>
      <c r="T1508" s="103"/>
      <c r="U1508" s="103"/>
      <c r="V1508" s="103"/>
      <c r="W1508" s="103"/>
      <c r="X1508" s="103"/>
      <c r="Y1508" s="103">
        <v>32</v>
      </c>
      <c r="Z1508" s="103"/>
      <c r="AA1508" s="103">
        <v>20</v>
      </c>
      <c r="AB1508" s="103"/>
      <c r="AC1508" s="103"/>
      <c r="AD1508" s="103"/>
      <c r="AE1508" s="103"/>
      <c r="AF1508" s="103"/>
      <c r="AG1508" s="103"/>
      <c r="AH1508" s="103"/>
      <c r="AI1508" s="103"/>
      <c r="AJ1508" s="103"/>
      <c r="AK1508" s="103"/>
      <c r="AL1508" s="103"/>
      <c r="AM1508" s="103"/>
      <c r="AN1508" s="103"/>
      <c r="AO1508" s="103">
        <v>52</v>
      </c>
      <c r="AP1508" s="103"/>
      <c r="AQ1508" s="103"/>
      <c r="AR1508" s="103"/>
      <c r="AS1508" s="103"/>
      <c r="AT1508" s="103"/>
      <c r="AU1508" s="103"/>
      <c r="AV1508" s="103"/>
      <c r="AW1508" s="104" t="str">
        <f>HYPERLINK("http://www.openstreetmap.org/?mlat=36.4723&amp;mlon=43.4354&amp;zoom=12#map=12/36.4723/43.4354","Maplink1")</f>
        <v>Maplink1</v>
      </c>
      <c r="AX1508" s="104" t="str">
        <f>HYPERLINK("https://www.google.iq/maps/search/+36.4723,43.4354/@36.4723,43.4354,14z?hl=en","Maplink2")</f>
        <v>Maplink2</v>
      </c>
      <c r="AY1508" s="104" t="str">
        <f>HYPERLINK("http://www.bing.com/maps/?lvl=14&amp;sty=h&amp;cp=36.4723~43.4354&amp;sp=point.36.4723_43.4354","Maplink3")</f>
        <v>Maplink3</v>
      </c>
    </row>
    <row r="1509" spans="1:51" x14ac:dyDescent="0.2">
      <c r="A1509" s="102">
        <v>20998</v>
      </c>
      <c r="B1509" s="103" t="s">
        <v>35</v>
      </c>
      <c r="C1509" s="103" t="s">
        <v>102</v>
      </c>
      <c r="D1509" s="103" t="s">
        <v>2730</v>
      </c>
      <c r="E1509" s="103" t="s">
        <v>2731</v>
      </c>
      <c r="F1509" s="103">
        <v>36.361109440900002</v>
      </c>
      <c r="G1509" s="103">
        <v>43.193008967899999</v>
      </c>
      <c r="H1509" s="102">
        <v>640</v>
      </c>
      <c r="I1509" s="102">
        <v>3840</v>
      </c>
      <c r="J1509" s="103"/>
      <c r="K1509" s="103"/>
      <c r="L1509" s="103"/>
      <c r="M1509" s="103">
        <v>640</v>
      </c>
      <c r="N1509" s="103"/>
      <c r="O1509" s="103"/>
      <c r="P1509" s="103"/>
      <c r="Q1509" s="103"/>
      <c r="R1509" s="103"/>
      <c r="S1509" s="103"/>
      <c r="T1509" s="103"/>
      <c r="U1509" s="103"/>
      <c r="V1509" s="103"/>
      <c r="W1509" s="103">
        <v>54</v>
      </c>
      <c r="X1509" s="103"/>
      <c r="Y1509" s="103">
        <v>48</v>
      </c>
      <c r="Z1509" s="103"/>
      <c r="AA1509" s="103">
        <v>75</v>
      </c>
      <c r="AB1509" s="103"/>
      <c r="AC1509" s="103"/>
      <c r="AD1509" s="103"/>
      <c r="AE1509" s="103"/>
      <c r="AF1509" s="103"/>
      <c r="AG1509" s="103">
        <v>463</v>
      </c>
      <c r="AH1509" s="103"/>
      <c r="AI1509" s="103"/>
      <c r="AJ1509" s="103"/>
      <c r="AK1509" s="103"/>
      <c r="AL1509" s="103"/>
      <c r="AM1509" s="103"/>
      <c r="AN1509" s="103">
        <v>177</v>
      </c>
      <c r="AO1509" s="103"/>
      <c r="AP1509" s="103"/>
      <c r="AQ1509" s="103"/>
      <c r="AR1509" s="103"/>
      <c r="AS1509" s="103">
        <v>463</v>
      </c>
      <c r="AT1509" s="103"/>
      <c r="AU1509" s="103"/>
      <c r="AV1509" s="103"/>
      <c r="AW1509" s="104" t="str">
        <f>HYPERLINK("http://www.openstreetmap.org/?mlat=36.3611&amp;mlon=43.193&amp;zoom=12#map=12/36.3611/43.193","Maplink1")</f>
        <v>Maplink1</v>
      </c>
      <c r="AX1509" s="104" t="str">
        <f>HYPERLINK("https://www.google.iq/maps/search/+36.3611,43.193/@36.3611,43.193,14z?hl=en","Maplink2")</f>
        <v>Maplink2</v>
      </c>
      <c r="AY1509" s="104" t="str">
        <f>HYPERLINK("http://www.bing.com/maps/?lvl=14&amp;sty=h&amp;cp=36.3611~43.193&amp;sp=point.36.3611_43.193","Maplink3")</f>
        <v>Maplink3</v>
      </c>
    </row>
    <row r="1510" spans="1:51" x14ac:dyDescent="0.2">
      <c r="A1510" s="102">
        <v>18319</v>
      </c>
      <c r="B1510" s="103" t="s">
        <v>35</v>
      </c>
      <c r="C1510" s="103" t="s">
        <v>102</v>
      </c>
      <c r="D1510" s="103" t="s">
        <v>2732</v>
      </c>
      <c r="E1510" s="103" t="s">
        <v>2733</v>
      </c>
      <c r="F1510" s="103">
        <v>36.031847603400003</v>
      </c>
      <c r="G1510" s="103">
        <v>43.2927800963</v>
      </c>
      <c r="H1510" s="102">
        <v>200</v>
      </c>
      <c r="I1510" s="102">
        <v>1200</v>
      </c>
      <c r="J1510" s="103"/>
      <c r="K1510" s="103"/>
      <c r="L1510" s="103"/>
      <c r="M1510" s="103">
        <v>198</v>
      </c>
      <c r="N1510" s="103">
        <v>2</v>
      </c>
      <c r="O1510" s="103"/>
      <c r="P1510" s="103"/>
      <c r="Q1510" s="103"/>
      <c r="R1510" s="103"/>
      <c r="S1510" s="103"/>
      <c r="T1510" s="103"/>
      <c r="U1510" s="103"/>
      <c r="V1510" s="103"/>
      <c r="W1510" s="103"/>
      <c r="X1510" s="103"/>
      <c r="Y1510" s="103"/>
      <c r="Z1510" s="103"/>
      <c r="AA1510" s="103"/>
      <c r="AB1510" s="103"/>
      <c r="AC1510" s="103"/>
      <c r="AD1510" s="103"/>
      <c r="AE1510" s="103"/>
      <c r="AF1510" s="103"/>
      <c r="AG1510" s="103">
        <v>200</v>
      </c>
      <c r="AH1510" s="103"/>
      <c r="AI1510" s="103"/>
      <c r="AJ1510" s="103"/>
      <c r="AK1510" s="103"/>
      <c r="AL1510" s="103"/>
      <c r="AM1510" s="103"/>
      <c r="AN1510" s="103"/>
      <c r="AO1510" s="103"/>
      <c r="AP1510" s="103"/>
      <c r="AQ1510" s="103"/>
      <c r="AR1510" s="103"/>
      <c r="AS1510" s="103">
        <v>200</v>
      </c>
      <c r="AT1510" s="103"/>
      <c r="AU1510" s="103"/>
      <c r="AV1510" s="103"/>
      <c r="AW1510" s="104" t="str">
        <f>HYPERLINK("http://www.openstreetmap.org/?mlat=36.0318&amp;mlon=43.2928&amp;zoom=12#map=12/36.0318/43.2928","Maplink1")</f>
        <v>Maplink1</v>
      </c>
      <c r="AX1510" s="104" t="str">
        <f>HYPERLINK("https://www.google.iq/maps/search/+36.0318,43.2928/@36.0318,43.2928,14z?hl=en","Maplink2")</f>
        <v>Maplink2</v>
      </c>
      <c r="AY1510" s="104" t="str">
        <f>HYPERLINK("http://www.bing.com/maps/?lvl=14&amp;sty=h&amp;cp=36.0318~43.2928&amp;sp=point.36.0318_43.2928","Maplink3")</f>
        <v>Maplink3</v>
      </c>
    </row>
    <row r="1511" spans="1:51" x14ac:dyDescent="0.2">
      <c r="A1511" s="102">
        <v>31946</v>
      </c>
      <c r="B1511" s="103" t="s">
        <v>35</v>
      </c>
      <c r="C1511" s="103" t="s">
        <v>102</v>
      </c>
      <c r="D1511" s="103" t="s">
        <v>2734</v>
      </c>
      <c r="E1511" s="103" t="s">
        <v>2735</v>
      </c>
      <c r="F1511" s="103">
        <v>36.088709999999999</v>
      </c>
      <c r="G1511" s="103">
        <v>43.025880000000001</v>
      </c>
      <c r="H1511" s="102">
        <v>15</v>
      </c>
      <c r="I1511" s="102">
        <v>90</v>
      </c>
      <c r="J1511" s="103"/>
      <c r="K1511" s="103"/>
      <c r="L1511" s="103"/>
      <c r="M1511" s="103">
        <v>15</v>
      </c>
      <c r="N1511" s="103"/>
      <c r="O1511" s="103"/>
      <c r="P1511" s="103"/>
      <c r="Q1511" s="103"/>
      <c r="R1511" s="103"/>
      <c r="S1511" s="103"/>
      <c r="T1511" s="103"/>
      <c r="U1511" s="103"/>
      <c r="V1511" s="103"/>
      <c r="W1511" s="103"/>
      <c r="X1511" s="103"/>
      <c r="Y1511" s="103"/>
      <c r="Z1511" s="103"/>
      <c r="AA1511" s="103"/>
      <c r="AB1511" s="103"/>
      <c r="AC1511" s="103"/>
      <c r="AD1511" s="103"/>
      <c r="AE1511" s="103"/>
      <c r="AF1511" s="103"/>
      <c r="AG1511" s="103">
        <v>15</v>
      </c>
      <c r="AH1511" s="103"/>
      <c r="AI1511" s="103"/>
      <c r="AJ1511" s="103"/>
      <c r="AK1511" s="103"/>
      <c r="AL1511" s="103"/>
      <c r="AM1511" s="103"/>
      <c r="AN1511" s="103"/>
      <c r="AO1511" s="103"/>
      <c r="AP1511" s="103"/>
      <c r="AQ1511" s="103"/>
      <c r="AR1511" s="103"/>
      <c r="AS1511" s="103">
        <v>15</v>
      </c>
      <c r="AT1511" s="103"/>
      <c r="AU1511" s="103"/>
      <c r="AV1511" s="103"/>
      <c r="AW1511" s="104" t="str">
        <f>HYPERLINK("http://www.openstreetmap.org/?mlat=36.0887&amp;mlon=43.0259&amp;zoom=12#map=12/36.0887/43.0259","Maplink1")</f>
        <v>Maplink1</v>
      </c>
      <c r="AX1511" s="104" t="str">
        <f>HYPERLINK("https://www.google.iq/maps/search/+36.0887,43.0259/@36.0887,43.0259,14z?hl=en","Maplink2")</f>
        <v>Maplink2</v>
      </c>
      <c r="AY1511" s="104" t="str">
        <f>HYPERLINK("http://www.bing.com/maps/?lvl=14&amp;sty=h&amp;cp=36.0887~43.0259&amp;sp=point.36.0887_43.0259","Maplink3")</f>
        <v>Maplink3</v>
      </c>
    </row>
    <row r="1512" spans="1:51" x14ac:dyDescent="0.2">
      <c r="A1512" s="102">
        <v>33246</v>
      </c>
      <c r="B1512" s="103" t="s">
        <v>35</v>
      </c>
      <c r="C1512" s="103" t="s">
        <v>102</v>
      </c>
      <c r="D1512" s="103" t="s">
        <v>2736</v>
      </c>
      <c r="E1512" s="103" t="s">
        <v>2737</v>
      </c>
      <c r="F1512" s="103">
        <v>36.335388762100003</v>
      </c>
      <c r="G1512" s="103">
        <v>43.092761808600002</v>
      </c>
      <c r="H1512" s="102">
        <v>688</v>
      </c>
      <c r="I1512" s="102">
        <v>4128</v>
      </c>
      <c r="J1512" s="103"/>
      <c r="K1512" s="103"/>
      <c r="L1512" s="103"/>
      <c r="M1512" s="103">
        <v>688</v>
      </c>
      <c r="N1512" s="103"/>
      <c r="O1512" s="103"/>
      <c r="P1512" s="103"/>
      <c r="Q1512" s="103"/>
      <c r="R1512" s="103"/>
      <c r="S1512" s="103"/>
      <c r="T1512" s="103"/>
      <c r="U1512" s="103"/>
      <c r="V1512" s="103"/>
      <c r="W1512" s="103"/>
      <c r="X1512" s="103"/>
      <c r="Y1512" s="103"/>
      <c r="Z1512" s="103"/>
      <c r="AA1512" s="103"/>
      <c r="AB1512" s="103"/>
      <c r="AC1512" s="103"/>
      <c r="AD1512" s="103"/>
      <c r="AE1512" s="103"/>
      <c r="AF1512" s="103"/>
      <c r="AG1512" s="103">
        <v>688</v>
      </c>
      <c r="AH1512" s="103"/>
      <c r="AI1512" s="103"/>
      <c r="AJ1512" s="103"/>
      <c r="AK1512" s="103"/>
      <c r="AL1512" s="103"/>
      <c r="AM1512" s="103"/>
      <c r="AN1512" s="103"/>
      <c r="AO1512" s="103"/>
      <c r="AP1512" s="103"/>
      <c r="AQ1512" s="103"/>
      <c r="AR1512" s="103"/>
      <c r="AS1512" s="103">
        <v>688</v>
      </c>
      <c r="AT1512" s="103"/>
      <c r="AU1512" s="103"/>
      <c r="AV1512" s="103"/>
      <c r="AW1512" s="104" t="str">
        <f>HYPERLINK("http://www.openstreetmap.org/?mlat=36.3354&amp;mlon=43.0928&amp;zoom=12#map=12/36.3354/43.0928","Maplink1")</f>
        <v>Maplink1</v>
      </c>
      <c r="AX1512" s="104" t="str">
        <f>HYPERLINK("https://www.google.iq/maps/search/+36.3354,43.0928/@36.3354,43.0928,14z?hl=en","Maplink2")</f>
        <v>Maplink2</v>
      </c>
      <c r="AY1512" s="104" t="str">
        <f>HYPERLINK("http://www.bing.com/maps/?lvl=14&amp;sty=h&amp;cp=36.3354~43.0928&amp;sp=point.36.3354_43.0928","Maplink3")</f>
        <v>Maplink3</v>
      </c>
    </row>
    <row r="1513" spans="1:51" x14ac:dyDescent="0.2">
      <c r="A1513" s="102">
        <v>18009</v>
      </c>
      <c r="B1513" s="103" t="s">
        <v>35</v>
      </c>
      <c r="C1513" s="103" t="s">
        <v>102</v>
      </c>
      <c r="D1513" s="103" t="s">
        <v>2738</v>
      </c>
      <c r="E1513" s="103" t="s">
        <v>2739</v>
      </c>
      <c r="F1513" s="103">
        <v>36.359859999999998</v>
      </c>
      <c r="G1513" s="103">
        <v>42.710717612400003</v>
      </c>
      <c r="H1513" s="102">
        <v>1200</v>
      </c>
      <c r="I1513" s="102">
        <v>7200</v>
      </c>
      <c r="J1513" s="103"/>
      <c r="K1513" s="103"/>
      <c r="L1513" s="103"/>
      <c r="M1513" s="103">
        <v>850</v>
      </c>
      <c r="N1513" s="103">
        <v>350</v>
      </c>
      <c r="O1513" s="103"/>
      <c r="P1513" s="103"/>
      <c r="Q1513" s="103"/>
      <c r="R1513" s="103"/>
      <c r="S1513" s="103"/>
      <c r="T1513" s="103"/>
      <c r="U1513" s="103"/>
      <c r="V1513" s="103"/>
      <c r="W1513" s="103"/>
      <c r="X1513" s="103"/>
      <c r="Y1513" s="103"/>
      <c r="Z1513" s="103"/>
      <c r="AA1513" s="103"/>
      <c r="AB1513" s="103"/>
      <c r="AC1513" s="103"/>
      <c r="AD1513" s="103"/>
      <c r="AE1513" s="103"/>
      <c r="AF1513" s="103"/>
      <c r="AG1513" s="103">
        <v>1200</v>
      </c>
      <c r="AH1513" s="103"/>
      <c r="AI1513" s="103"/>
      <c r="AJ1513" s="103"/>
      <c r="AK1513" s="103"/>
      <c r="AL1513" s="103"/>
      <c r="AM1513" s="103"/>
      <c r="AN1513" s="103"/>
      <c r="AO1513" s="103"/>
      <c r="AP1513" s="103"/>
      <c r="AQ1513" s="103"/>
      <c r="AR1513" s="103"/>
      <c r="AS1513" s="103">
        <v>1200</v>
      </c>
      <c r="AT1513" s="103"/>
      <c r="AU1513" s="103"/>
      <c r="AV1513" s="103"/>
      <c r="AW1513" s="104" t="str">
        <f>HYPERLINK("http://www.openstreetmap.org/?mlat=36.3599&amp;mlon=42.7107&amp;zoom=12#map=12/36.3599/42.7107","Maplink1")</f>
        <v>Maplink1</v>
      </c>
      <c r="AX1513" s="104" t="str">
        <f>HYPERLINK("https://www.google.iq/maps/search/+36.3599,42.7107/@36.3599,42.7107,14z?hl=en","Maplink2")</f>
        <v>Maplink2</v>
      </c>
      <c r="AY1513" s="104" t="str">
        <f>HYPERLINK("http://www.bing.com/maps/?lvl=14&amp;sty=h&amp;cp=36.3599~42.7107&amp;sp=point.36.3599_42.7107","Maplink3")</f>
        <v>Maplink3</v>
      </c>
    </row>
    <row r="1514" spans="1:51" x14ac:dyDescent="0.2">
      <c r="A1514" s="102">
        <v>18389</v>
      </c>
      <c r="B1514" s="103" t="s">
        <v>35</v>
      </c>
      <c r="C1514" s="103" t="s">
        <v>102</v>
      </c>
      <c r="D1514" s="103" t="s">
        <v>2740</v>
      </c>
      <c r="E1514" s="103" t="s">
        <v>2741</v>
      </c>
      <c r="F1514" s="103">
        <v>36.348059999999997</v>
      </c>
      <c r="G1514" s="103">
        <v>43.144370210399998</v>
      </c>
      <c r="H1514" s="102">
        <v>72</v>
      </c>
      <c r="I1514" s="102">
        <v>432</v>
      </c>
      <c r="J1514" s="103"/>
      <c r="K1514" s="103"/>
      <c r="L1514" s="103"/>
      <c r="M1514" s="103">
        <v>72</v>
      </c>
      <c r="N1514" s="103"/>
      <c r="O1514" s="103"/>
      <c r="P1514" s="103"/>
      <c r="Q1514" s="103"/>
      <c r="R1514" s="103"/>
      <c r="S1514" s="103"/>
      <c r="T1514" s="103"/>
      <c r="U1514" s="103"/>
      <c r="V1514" s="103"/>
      <c r="W1514" s="103">
        <v>9</v>
      </c>
      <c r="X1514" s="103"/>
      <c r="Y1514" s="103">
        <v>12</v>
      </c>
      <c r="Z1514" s="103"/>
      <c r="AA1514" s="103">
        <v>13</v>
      </c>
      <c r="AB1514" s="103">
        <v>5</v>
      </c>
      <c r="AC1514" s="103">
        <v>2</v>
      </c>
      <c r="AD1514" s="103"/>
      <c r="AE1514" s="103"/>
      <c r="AF1514" s="103"/>
      <c r="AG1514" s="103">
        <v>31</v>
      </c>
      <c r="AH1514" s="103"/>
      <c r="AI1514" s="103"/>
      <c r="AJ1514" s="103"/>
      <c r="AK1514" s="103"/>
      <c r="AL1514" s="103"/>
      <c r="AM1514" s="103"/>
      <c r="AN1514" s="103">
        <v>41</v>
      </c>
      <c r="AO1514" s="103"/>
      <c r="AP1514" s="103"/>
      <c r="AQ1514" s="103"/>
      <c r="AR1514" s="103"/>
      <c r="AS1514" s="103">
        <v>31</v>
      </c>
      <c r="AT1514" s="103"/>
      <c r="AU1514" s="103"/>
      <c r="AV1514" s="103"/>
      <c r="AW1514" s="104" t="str">
        <f>HYPERLINK("http://www.openstreetmap.org/?mlat=36.3481&amp;mlon=43.1444&amp;zoom=12#map=12/36.3481/43.1444","Maplink1")</f>
        <v>Maplink1</v>
      </c>
      <c r="AX1514" s="104" t="str">
        <f>HYPERLINK("https://www.google.iq/maps/search/+36.3481,43.1444/@36.3481,43.1444,14z?hl=en","Maplink2")</f>
        <v>Maplink2</v>
      </c>
      <c r="AY1514" s="104" t="str">
        <f>HYPERLINK("http://www.bing.com/maps/?lvl=14&amp;sty=h&amp;cp=36.3481~43.1444&amp;sp=point.36.3481_43.1444","Maplink3")</f>
        <v>Maplink3</v>
      </c>
    </row>
    <row r="1515" spans="1:51" x14ac:dyDescent="0.2">
      <c r="A1515" s="102">
        <v>20782</v>
      </c>
      <c r="B1515" s="103" t="s">
        <v>35</v>
      </c>
      <c r="C1515" s="103" t="s">
        <v>102</v>
      </c>
      <c r="D1515" s="103" t="s">
        <v>2321</v>
      </c>
      <c r="E1515" s="103" t="s">
        <v>2322</v>
      </c>
      <c r="F1515" s="103">
        <v>36.383662314399999</v>
      </c>
      <c r="G1515" s="103">
        <v>43.193431042299999</v>
      </c>
      <c r="H1515" s="102">
        <v>494</v>
      </c>
      <c r="I1515" s="102">
        <v>2964</v>
      </c>
      <c r="J1515" s="103"/>
      <c r="K1515" s="103"/>
      <c r="L1515" s="103"/>
      <c r="M1515" s="103">
        <v>494</v>
      </c>
      <c r="N1515" s="103"/>
      <c r="O1515" s="103"/>
      <c r="P1515" s="103"/>
      <c r="Q1515" s="103"/>
      <c r="R1515" s="103"/>
      <c r="S1515" s="103"/>
      <c r="T1515" s="103"/>
      <c r="U1515" s="103"/>
      <c r="V1515" s="103"/>
      <c r="W1515" s="103">
        <v>29</v>
      </c>
      <c r="X1515" s="103"/>
      <c r="Y1515" s="103">
        <v>25</v>
      </c>
      <c r="Z1515" s="103"/>
      <c r="AA1515" s="103">
        <v>32</v>
      </c>
      <c r="AB1515" s="103"/>
      <c r="AC1515" s="103"/>
      <c r="AD1515" s="103"/>
      <c r="AE1515" s="103"/>
      <c r="AF1515" s="103"/>
      <c r="AG1515" s="103">
        <v>408</v>
      </c>
      <c r="AH1515" s="103"/>
      <c r="AI1515" s="103"/>
      <c r="AJ1515" s="103"/>
      <c r="AK1515" s="103"/>
      <c r="AL1515" s="103"/>
      <c r="AM1515" s="103"/>
      <c r="AN1515" s="103">
        <v>86</v>
      </c>
      <c r="AO1515" s="103"/>
      <c r="AP1515" s="103"/>
      <c r="AQ1515" s="103"/>
      <c r="AR1515" s="103"/>
      <c r="AS1515" s="103">
        <v>408</v>
      </c>
      <c r="AT1515" s="103"/>
      <c r="AU1515" s="103"/>
      <c r="AV1515" s="103"/>
      <c r="AW1515" s="104" t="str">
        <f>HYPERLINK("http://www.openstreetmap.org/?mlat=36.3837&amp;mlon=43.1934&amp;zoom=12#map=12/36.3837/43.1934","Maplink1")</f>
        <v>Maplink1</v>
      </c>
      <c r="AX1515" s="104" t="str">
        <f>HYPERLINK("https://www.google.iq/maps/search/+36.3837,43.1934/@36.3837,43.1934,14z?hl=en","Maplink2")</f>
        <v>Maplink2</v>
      </c>
      <c r="AY1515" s="104" t="str">
        <f>HYPERLINK("http://www.bing.com/maps/?lvl=14&amp;sty=h&amp;cp=36.3837~43.1934&amp;sp=point.36.3837_43.1934","Maplink3")</f>
        <v>Maplink3</v>
      </c>
    </row>
    <row r="1516" spans="1:51" x14ac:dyDescent="0.2">
      <c r="A1516" s="102">
        <v>18245</v>
      </c>
      <c r="B1516" s="103" t="s">
        <v>35</v>
      </c>
      <c r="C1516" s="103" t="s">
        <v>102</v>
      </c>
      <c r="D1516" s="103" t="s">
        <v>2323</v>
      </c>
      <c r="E1516" s="103" t="s">
        <v>2324</v>
      </c>
      <c r="F1516" s="103">
        <v>36.333662921699997</v>
      </c>
      <c r="G1516" s="103">
        <v>43.129815568399998</v>
      </c>
      <c r="H1516" s="102">
        <v>502</v>
      </c>
      <c r="I1516" s="102">
        <v>3012</v>
      </c>
      <c r="J1516" s="103"/>
      <c r="K1516" s="103"/>
      <c r="L1516" s="103"/>
      <c r="M1516" s="103">
        <v>473</v>
      </c>
      <c r="N1516" s="103">
        <v>29</v>
      </c>
      <c r="O1516" s="103"/>
      <c r="P1516" s="103"/>
      <c r="Q1516" s="103"/>
      <c r="R1516" s="103"/>
      <c r="S1516" s="103"/>
      <c r="T1516" s="103"/>
      <c r="U1516" s="103"/>
      <c r="V1516" s="103"/>
      <c r="W1516" s="103"/>
      <c r="X1516" s="103"/>
      <c r="Y1516" s="103"/>
      <c r="Z1516" s="103"/>
      <c r="AA1516" s="103"/>
      <c r="AB1516" s="103"/>
      <c r="AC1516" s="103"/>
      <c r="AD1516" s="103"/>
      <c r="AE1516" s="103"/>
      <c r="AF1516" s="103"/>
      <c r="AG1516" s="103">
        <v>502</v>
      </c>
      <c r="AH1516" s="103"/>
      <c r="AI1516" s="103"/>
      <c r="AJ1516" s="103"/>
      <c r="AK1516" s="103"/>
      <c r="AL1516" s="103"/>
      <c r="AM1516" s="103"/>
      <c r="AN1516" s="103"/>
      <c r="AO1516" s="103"/>
      <c r="AP1516" s="103"/>
      <c r="AQ1516" s="103"/>
      <c r="AR1516" s="103"/>
      <c r="AS1516" s="103">
        <v>502</v>
      </c>
      <c r="AT1516" s="103"/>
      <c r="AU1516" s="103"/>
      <c r="AV1516" s="103"/>
      <c r="AW1516" s="104" t="str">
        <f>HYPERLINK("http://www.openstreetmap.org/?mlat=36.3337&amp;mlon=43.1298&amp;zoom=12#map=12/36.3337/43.1298","Maplink1")</f>
        <v>Maplink1</v>
      </c>
      <c r="AX1516" s="104" t="str">
        <f>HYPERLINK("https://www.google.iq/maps/search/+36.3337,43.1298/@36.3337,43.1298,14z?hl=en","Maplink2")</f>
        <v>Maplink2</v>
      </c>
      <c r="AY1516" s="104" t="str">
        <f>HYPERLINK("http://www.bing.com/maps/?lvl=14&amp;sty=h&amp;cp=36.3337~43.1298&amp;sp=point.36.3337_43.1298","Maplink3")</f>
        <v>Maplink3</v>
      </c>
    </row>
    <row r="1517" spans="1:51" x14ac:dyDescent="0.2">
      <c r="A1517" s="102">
        <v>18368</v>
      </c>
      <c r="B1517" s="103" t="s">
        <v>35</v>
      </c>
      <c r="C1517" s="103" t="s">
        <v>102</v>
      </c>
      <c r="D1517" s="103" t="s">
        <v>2325</v>
      </c>
      <c r="E1517" s="103" t="s">
        <v>2326</v>
      </c>
      <c r="F1517" s="103">
        <v>36.321125484900001</v>
      </c>
      <c r="G1517" s="103">
        <v>43.1254966435</v>
      </c>
      <c r="H1517" s="102">
        <v>5615</v>
      </c>
      <c r="I1517" s="102">
        <v>33690</v>
      </c>
      <c r="J1517" s="103"/>
      <c r="K1517" s="103"/>
      <c r="L1517" s="103"/>
      <c r="M1517" s="103">
        <v>5615</v>
      </c>
      <c r="N1517" s="103"/>
      <c r="O1517" s="103"/>
      <c r="P1517" s="103"/>
      <c r="Q1517" s="103"/>
      <c r="R1517" s="103"/>
      <c r="S1517" s="103"/>
      <c r="T1517" s="103"/>
      <c r="U1517" s="103"/>
      <c r="V1517" s="103"/>
      <c r="W1517" s="103"/>
      <c r="X1517" s="103"/>
      <c r="Y1517" s="103"/>
      <c r="Z1517" s="103"/>
      <c r="AA1517" s="103"/>
      <c r="AB1517" s="103"/>
      <c r="AC1517" s="103"/>
      <c r="AD1517" s="103"/>
      <c r="AE1517" s="103"/>
      <c r="AF1517" s="103"/>
      <c r="AG1517" s="103">
        <v>5615</v>
      </c>
      <c r="AH1517" s="103"/>
      <c r="AI1517" s="103"/>
      <c r="AJ1517" s="103"/>
      <c r="AK1517" s="103"/>
      <c r="AL1517" s="103"/>
      <c r="AM1517" s="103"/>
      <c r="AN1517" s="103"/>
      <c r="AO1517" s="103"/>
      <c r="AP1517" s="103"/>
      <c r="AQ1517" s="103"/>
      <c r="AR1517" s="103"/>
      <c r="AS1517" s="103">
        <v>5615</v>
      </c>
      <c r="AT1517" s="103"/>
      <c r="AU1517" s="103"/>
      <c r="AV1517" s="103"/>
      <c r="AW1517" s="104" t="str">
        <f>HYPERLINK("http://www.openstreetmap.org/?mlat=36.3211&amp;mlon=43.1255&amp;zoom=12#map=12/36.3211/43.1255","Maplink1")</f>
        <v>Maplink1</v>
      </c>
      <c r="AX1517" s="104" t="str">
        <f>HYPERLINK("https://www.google.iq/maps/search/+36.3211,43.1255/@36.3211,43.1255,14z?hl=en","Maplink2")</f>
        <v>Maplink2</v>
      </c>
      <c r="AY1517" s="104" t="str">
        <f>HYPERLINK("http://www.bing.com/maps/?lvl=14&amp;sty=h&amp;cp=36.3211~43.1255&amp;sp=point.36.3211_43.1255","Maplink3")</f>
        <v>Maplink3</v>
      </c>
    </row>
    <row r="1518" spans="1:51" x14ac:dyDescent="0.2">
      <c r="A1518" s="102">
        <v>31891</v>
      </c>
      <c r="B1518" s="103" t="s">
        <v>35</v>
      </c>
      <c r="C1518" s="103" t="s">
        <v>102</v>
      </c>
      <c r="D1518" s="103" t="s">
        <v>2327</v>
      </c>
      <c r="E1518" s="103" t="s">
        <v>2328</v>
      </c>
      <c r="F1518" s="103">
        <v>35.892490000000002</v>
      </c>
      <c r="G1518" s="103">
        <v>43.215530000000001</v>
      </c>
      <c r="H1518" s="102">
        <v>14</v>
      </c>
      <c r="I1518" s="102">
        <v>84</v>
      </c>
      <c r="J1518" s="103"/>
      <c r="K1518" s="103"/>
      <c r="L1518" s="103"/>
      <c r="M1518" s="103">
        <v>14</v>
      </c>
      <c r="N1518" s="103"/>
      <c r="O1518" s="103"/>
      <c r="P1518" s="103"/>
      <c r="Q1518" s="103"/>
      <c r="R1518" s="103"/>
      <c r="S1518" s="103"/>
      <c r="T1518" s="103"/>
      <c r="U1518" s="103"/>
      <c r="V1518" s="103"/>
      <c r="W1518" s="103"/>
      <c r="X1518" s="103"/>
      <c r="Y1518" s="103"/>
      <c r="Z1518" s="103"/>
      <c r="AA1518" s="103"/>
      <c r="AB1518" s="103"/>
      <c r="AC1518" s="103"/>
      <c r="AD1518" s="103"/>
      <c r="AE1518" s="103"/>
      <c r="AF1518" s="103"/>
      <c r="AG1518" s="103">
        <v>14</v>
      </c>
      <c r="AH1518" s="103"/>
      <c r="AI1518" s="103"/>
      <c r="AJ1518" s="103"/>
      <c r="AK1518" s="103"/>
      <c r="AL1518" s="103"/>
      <c r="AM1518" s="103"/>
      <c r="AN1518" s="103"/>
      <c r="AO1518" s="103"/>
      <c r="AP1518" s="103"/>
      <c r="AQ1518" s="103"/>
      <c r="AR1518" s="103"/>
      <c r="AS1518" s="103">
        <v>14</v>
      </c>
      <c r="AT1518" s="103"/>
      <c r="AU1518" s="103"/>
      <c r="AV1518" s="103"/>
      <c r="AW1518" s="104" t="str">
        <f>HYPERLINK("http://www.openstreetmap.org/?mlat=35.8925&amp;mlon=43.2155&amp;zoom=12#map=12/35.8925/43.2155","Maplink1")</f>
        <v>Maplink1</v>
      </c>
      <c r="AX1518" s="104" t="str">
        <f>HYPERLINK("https://www.google.iq/maps/search/+35.8925,43.2155/@35.8925,43.2155,14z?hl=en","Maplink2")</f>
        <v>Maplink2</v>
      </c>
      <c r="AY1518" s="104" t="str">
        <f>HYPERLINK("http://www.bing.com/maps/?lvl=14&amp;sty=h&amp;cp=35.8925~43.2155&amp;sp=point.35.8925_43.2155","Maplink3")</f>
        <v>Maplink3</v>
      </c>
    </row>
    <row r="1519" spans="1:51" x14ac:dyDescent="0.2">
      <c r="A1519" s="102">
        <v>18397</v>
      </c>
      <c r="B1519" s="103" t="s">
        <v>35</v>
      </c>
      <c r="C1519" s="103" t="s">
        <v>102</v>
      </c>
      <c r="D1519" s="103" t="s">
        <v>2329</v>
      </c>
      <c r="E1519" s="103" t="s">
        <v>2330</v>
      </c>
      <c r="F1519" s="103">
        <v>36.358557124299999</v>
      </c>
      <c r="G1519" s="103">
        <v>43.162039116199999</v>
      </c>
      <c r="H1519" s="102">
        <v>129</v>
      </c>
      <c r="I1519" s="102">
        <v>774</v>
      </c>
      <c r="J1519" s="103"/>
      <c r="K1519" s="103"/>
      <c r="L1519" s="103"/>
      <c r="M1519" s="103">
        <v>129</v>
      </c>
      <c r="N1519" s="103"/>
      <c r="O1519" s="103"/>
      <c r="P1519" s="103"/>
      <c r="Q1519" s="103"/>
      <c r="R1519" s="103"/>
      <c r="S1519" s="103"/>
      <c r="T1519" s="103"/>
      <c r="U1519" s="103"/>
      <c r="V1519" s="103"/>
      <c r="W1519" s="103">
        <v>13</v>
      </c>
      <c r="X1519" s="103"/>
      <c r="Y1519" s="103">
        <v>21</v>
      </c>
      <c r="Z1519" s="103"/>
      <c r="AA1519" s="103">
        <v>26</v>
      </c>
      <c r="AB1519" s="103"/>
      <c r="AC1519" s="103">
        <v>1</v>
      </c>
      <c r="AD1519" s="103"/>
      <c r="AE1519" s="103"/>
      <c r="AF1519" s="103"/>
      <c r="AG1519" s="103">
        <v>67</v>
      </c>
      <c r="AH1519" s="103"/>
      <c r="AI1519" s="103"/>
      <c r="AJ1519" s="103">
        <v>1</v>
      </c>
      <c r="AK1519" s="103"/>
      <c r="AL1519" s="103"/>
      <c r="AM1519" s="103"/>
      <c r="AN1519" s="103">
        <v>62</v>
      </c>
      <c r="AO1519" s="103"/>
      <c r="AP1519" s="103"/>
      <c r="AQ1519" s="103"/>
      <c r="AR1519" s="103"/>
      <c r="AS1519" s="103">
        <v>67</v>
      </c>
      <c r="AT1519" s="103"/>
      <c r="AU1519" s="103"/>
      <c r="AV1519" s="103"/>
      <c r="AW1519" s="104" t="str">
        <f>HYPERLINK("http://www.openstreetmap.org/?mlat=36.3586&amp;mlon=43.162&amp;zoom=12#map=12/36.3586/43.162","Maplink1")</f>
        <v>Maplink1</v>
      </c>
      <c r="AX1519" s="104" t="str">
        <f>HYPERLINK("https://www.google.iq/maps/search/+36.3586,43.162/@36.3586,43.162,14z?hl=en","Maplink2")</f>
        <v>Maplink2</v>
      </c>
      <c r="AY1519" s="104" t="str">
        <f>HYPERLINK("http://www.bing.com/maps/?lvl=14&amp;sty=h&amp;cp=36.3586~43.162&amp;sp=point.36.3586_43.162","Maplink3")</f>
        <v>Maplink3</v>
      </c>
    </row>
    <row r="1520" spans="1:51" x14ac:dyDescent="0.2">
      <c r="A1520" s="102">
        <v>18243</v>
      </c>
      <c r="B1520" s="103" t="s">
        <v>35</v>
      </c>
      <c r="C1520" s="103" t="s">
        <v>102</v>
      </c>
      <c r="D1520" s="103" t="s">
        <v>2331</v>
      </c>
      <c r="E1520" s="103" t="s">
        <v>2332</v>
      </c>
      <c r="F1520" s="103">
        <v>36.334071268400002</v>
      </c>
      <c r="G1520" s="103">
        <v>43.137779791900002</v>
      </c>
      <c r="H1520" s="102">
        <v>282</v>
      </c>
      <c r="I1520" s="102">
        <v>1692</v>
      </c>
      <c r="J1520" s="103"/>
      <c r="K1520" s="103"/>
      <c r="L1520" s="103"/>
      <c r="M1520" s="103">
        <v>282</v>
      </c>
      <c r="N1520" s="103"/>
      <c r="O1520" s="103"/>
      <c r="P1520" s="103"/>
      <c r="Q1520" s="103"/>
      <c r="R1520" s="103"/>
      <c r="S1520" s="103"/>
      <c r="T1520" s="103"/>
      <c r="U1520" s="103"/>
      <c r="V1520" s="103"/>
      <c r="W1520" s="103"/>
      <c r="X1520" s="103"/>
      <c r="Y1520" s="103"/>
      <c r="Z1520" s="103"/>
      <c r="AA1520" s="103"/>
      <c r="AB1520" s="103"/>
      <c r="AC1520" s="103"/>
      <c r="AD1520" s="103"/>
      <c r="AE1520" s="103"/>
      <c r="AF1520" s="103"/>
      <c r="AG1520" s="103">
        <v>282</v>
      </c>
      <c r="AH1520" s="103"/>
      <c r="AI1520" s="103"/>
      <c r="AJ1520" s="103"/>
      <c r="AK1520" s="103"/>
      <c r="AL1520" s="103"/>
      <c r="AM1520" s="103"/>
      <c r="AN1520" s="103"/>
      <c r="AO1520" s="103"/>
      <c r="AP1520" s="103"/>
      <c r="AQ1520" s="103"/>
      <c r="AR1520" s="103"/>
      <c r="AS1520" s="103">
        <v>282</v>
      </c>
      <c r="AT1520" s="103"/>
      <c r="AU1520" s="103"/>
      <c r="AV1520" s="103"/>
      <c r="AW1520" s="104" t="str">
        <f>HYPERLINK("http://www.openstreetmap.org/?mlat=36.3341&amp;mlon=43.1378&amp;zoom=12#map=12/36.3341/43.1378","Maplink1")</f>
        <v>Maplink1</v>
      </c>
      <c r="AX1520" s="104" t="str">
        <f>HYPERLINK("https://www.google.iq/maps/search/+36.3341,43.1378/@36.3341,43.1378,14z?hl=en","Maplink2")</f>
        <v>Maplink2</v>
      </c>
      <c r="AY1520" s="104" t="str">
        <f>HYPERLINK("http://www.bing.com/maps/?lvl=14&amp;sty=h&amp;cp=36.3341~43.1378&amp;sp=point.36.3341_43.1378","Maplink3")</f>
        <v>Maplink3</v>
      </c>
    </row>
    <row r="1521" spans="1:51" x14ac:dyDescent="0.2">
      <c r="A1521" s="102">
        <v>27285</v>
      </c>
      <c r="B1521" s="103" t="s">
        <v>35</v>
      </c>
      <c r="C1521" s="103" t="s">
        <v>103</v>
      </c>
      <c r="D1521" s="103" t="s">
        <v>3075</v>
      </c>
      <c r="E1521" s="103" t="s">
        <v>3076</v>
      </c>
      <c r="F1521" s="103">
        <v>36.4943673864</v>
      </c>
      <c r="G1521" s="103">
        <v>41.868206134399998</v>
      </c>
      <c r="H1521" s="102">
        <v>1923</v>
      </c>
      <c r="I1521" s="102">
        <v>11538</v>
      </c>
      <c r="J1521" s="103"/>
      <c r="K1521" s="103"/>
      <c r="L1521" s="103"/>
      <c r="M1521" s="103">
        <v>1848</v>
      </c>
      <c r="N1521" s="103">
        <v>75</v>
      </c>
      <c r="O1521" s="103"/>
      <c r="P1521" s="103"/>
      <c r="Q1521" s="103"/>
      <c r="R1521" s="103"/>
      <c r="S1521" s="103"/>
      <c r="T1521" s="103"/>
      <c r="U1521" s="103"/>
      <c r="V1521" s="103"/>
      <c r="W1521" s="103"/>
      <c r="X1521" s="103"/>
      <c r="Y1521" s="103">
        <v>1508</v>
      </c>
      <c r="Z1521" s="103"/>
      <c r="AA1521" s="103"/>
      <c r="AB1521" s="103"/>
      <c r="AC1521" s="103"/>
      <c r="AD1521" s="103"/>
      <c r="AE1521" s="103"/>
      <c r="AF1521" s="103"/>
      <c r="AG1521" s="103">
        <v>415</v>
      </c>
      <c r="AH1521" s="103"/>
      <c r="AI1521" s="103"/>
      <c r="AJ1521" s="103"/>
      <c r="AK1521" s="103"/>
      <c r="AL1521" s="103"/>
      <c r="AM1521" s="103"/>
      <c r="AN1521" s="103"/>
      <c r="AO1521" s="103">
        <v>1923</v>
      </c>
      <c r="AP1521" s="103"/>
      <c r="AQ1521" s="103"/>
      <c r="AR1521" s="103"/>
      <c r="AS1521" s="103"/>
      <c r="AT1521" s="103"/>
      <c r="AU1521" s="103"/>
      <c r="AV1521" s="103"/>
      <c r="AW1521" s="104" t="str">
        <f>HYPERLINK("http://www.openstreetmap.org/?mlat=36.4944&amp;mlon=41.8682&amp;zoom=12#map=12/36.4944/41.8682","Maplink1")</f>
        <v>Maplink1</v>
      </c>
      <c r="AX1521" s="104" t="str">
        <f>HYPERLINK("https://www.google.iq/maps/search/+36.4944,41.8682/@36.4944,41.8682,14z?hl=en","Maplink2")</f>
        <v>Maplink2</v>
      </c>
      <c r="AY1521" s="104" t="str">
        <f>HYPERLINK("http://www.bing.com/maps/?lvl=14&amp;sty=h&amp;cp=36.4944~41.8682&amp;sp=point.36.4944_41.8682","Maplink3")</f>
        <v>Maplink3</v>
      </c>
    </row>
    <row r="1522" spans="1:51" x14ac:dyDescent="0.2">
      <c r="A1522" s="102">
        <v>29676</v>
      </c>
      <c r="B1522" s="103" t="s">
        <v>35</v>
      </c>
      <c r="C1522" s="103" t="s">
        <v>103</v>
      </c>
      <c r="D1522" s="103" t="s">
        <v>3077</v>
      </c>
      <c r="E1522" s="103" t="s">
        <v>3078</v>
      </c>
      <c r="F1522" s="103">
        <v>36.320018863400001</v>
      </c>
      <c r="G1522" s="103">
        <v>41.876945244600002</v>
      </c>
      <c r="H1522" s="102">
        <v>144</v>
      </c>
      <c r="I1522" s="102">
        <v>864</v>
      </c>
      <c r="J1522" s="103">
        <v>14</v>
      </c>
      <c r="K1522" s="103"/>
      <c r="L1522" s="103"/>
      <c r="M1522" s="103">
        <v>100</v>
      </c>
      <c r="N1522" s="103">
        <v>30</v>
      </c>
      <c r="O1522" s="103"/>
      <c r="P1522" s="103"/>
      <c r="Q1522" s="103"/>
      <c r="R1522" s="103"/>
      <c r="S1522" s="103"/>
      <c r="T1522" s="103"/>
      <c r="U1522" s="103"/>
      <c r="V1522" s="103"/>
      <c r="W1522" s="103"/>
      <c r="X1522" s="103"/>
      <c r="Y1522" s="103">
        <v>111</v>
      </c>
      <c r="Z1522" s="103"/>
      <c r="AA1522" s="103"/>
      <c r="AB1522" s="103"/>
      <c r="AC1522" s="103"/>
      <c r="AD1522" s="103"/>
      <c r="AE1522" s="103"/>
      <c r="AF1522" s="103"/>
      <c r="AG1522" s="103">
        <v>33</v>
      </c>
      <c r="AH1522" s="103"/>
      <c r="AI1522" s="103"/>
      <c r="AJ1522" s="103"/>
      <c r="AK1522" s="103"/>
      <c r="AL1522" s="103"/>
      <c r="AM1522" s="103"/>
      <c r="AN1522" s="103"/>
      <c r="AO1522" s="103">
        <v>144</v>
      </c>
      <c r="AP1522" s="103"/>
      <c r="AQ1522" s="103"/>
      <c r="AR1522" s="103"/>
      <c r="AS1522" s="103"/>
      <c r="AT1522" s="103"/>
      <c r="AU1522" s="103"/>
      <c r="AV1522" s="103"/>
      <c r="AW1522" s="104" t="str">
        <f>HYPERLINK("http://www.openstreetmap.org/?mlat=36.32&amp;mlon=41.8769&amp;zoom=12#map=12/36.32/41.8769","Maplink1")</f>
        <v>Maplink1</v>
      </c>
      <c r="AX1522" s="104" t="str">
        <f>HYPERLINK("https://www.google.iq/maps/search/+36.32,41.8769/@36.32,41.8769,14z?hl=en","Maplink2")</f>
        <v>Maplink2</v>
      </c>
      <c r="AY1522" s="104" t="str">
        <f>HYPERLINK("http://www.bing.com/maps/?lvl=14&amp;sty=h&amp;cp=36.32~41.8769&amp;sp=point.36.32_41.8769","Maplink3")</f>
        <v>Maplink3</v>
      </c>
    </row>
    <row r="1523" spans="1:51" x14ac:dyDescent="0.2">
      <c r="A1523" s="102">
        <v>33578</v>
      </c>
      <c r="B1523" s="103" t="s">
        <v>35</v>
      </c>
      <c r="C1523" s="103" t="s">
        <v>103</v>
      </c>
      <c r="D1523" s="103" t="s">
        <v>3079</v>
      </c>
      <c r="E1523" s="103" t="s">
        <v>3080</v>
      </c>
      <c r="F1523" s="103">
        <v>36.595101999999997</v>
      </c>
      <c r="G1523" s="103">
        <v>41.847653207999997</v>
      </c>
      <c r="H1523" s="102">
        <v>17</v>
      </c>
      <c r="I1523" s="102">
        <v>102</v>
      </c>
      <c r="J1523" s="103"/>
      <c r="K1523" s="103">
        <v>6</v>
      </c>
      <c r="L1523" s="103"/>
      <c r="M1523" s="103">
        <v>7</v>
      </c>
      <c r="N1523" s="103">
        <v>4</v>
      </c>
      <c r="O1523" s="103"/>
      <c r="P1523" s="103"/>
      <c r="Q1523" s="103"/>
      <c r="R1523" s="103"/>
      <c r="S1523" s="103"/>
      <c r="T1523" s="103"/>
      <c r="U1523" s="103"/>
      <c r="V1523" s="103"/>
      <c r="W1523" s="103"/>
      <c r="X1523" s="103"/>
      <c r="Y1523" s="103"/>
      <c r="Z1523" s="103"/>
      <c r="AA1523" s="103"/>
      <c r="AB1523" s="103"/>
      <c r="AC1523" s="103"/>
      <c r="AD1523" s="103"/>
      <c r="AE1523" s="103"/>
      <c r="AF1523" s="103"/>
      <c r="AG1523" s="103">
        <v>17</v>
      </c>
      <c r="AH1523" s="103"/>
      <c r="AI1523" s="103"/>
      <c r="AJ1523" s="103"/>
      <c r="AK1523" s="103"/>
      <c r="AL1523" s="103"/>
      <c r="AM1523" s="103"/>
      <c r="AN1523" s="103"/>
      <c r="AO1523" s="103"/>
      <c r="AP1523" s="103"/>
      <c r="AQ1523" s="103">
        <v>17</v>
      </c>
      <c r="AR1523" s="103"/>
      <c r="AS1523" s="103"/>
      <c r="AT1523" s="103"/>
      <c r="AU1523" s="103"/>
      <c r="AV1523" s="103"/>
      <c r="AW1523" s="104" t="str">
        <f>HYPERLINK("http://www.openstreetmap.org/?mlat=36.5951&amp;mlon=41.8477&amp;zoom=12#map=12/36.5951/41.8477","Maplink1")</f>
        <v>Maplink1</v>
      </c>
      <c r="AX1523" s="104" t="str">
        <f>HYPERLINK("https://www.google.iq/maps/search/+36.5951,41.8477/@36.5951,41.8477,14z?hl=en","Maplink2")</f>
        <v>Maplink2</v>
      </c>
      <c r="AY1523" s="104" t="str">
        <f>HYPERLINK("http://www.bing.com/maps/?lvl=14&amp;sty=h&amp;cp=36.5951~41.8477&amp;sp=point.36.5951_41.8477","Maplink3")</f>
        <v>Maplink3</v>
      </c>
    </row>
    <row r="1524" spans="1:51" x14ac:dyDescent="0.2">
      <c r="A1524" s="102">
        <v>17704</v>
      </c>
      <c r="B1524" s="103" t="s">
        <v>35</v>
      </c>
      <c r="C1524" s="103" t="s">
        <v>103</v>
      </c>
      <c r="D1524" s="103" t="s">
        <v>3081</v>
      </c>
      <c r="E1524" s="103" t="s">
        <v>3082</v>
      </c>
      <c r="F1524" s="103">
        <v>36.250765999999999</v>
      </c>
      <c r="G1524" s="103">
        <v>41.969831999999997</v>
      </c>
      <c r="H1524" s="102">
        <v>24</v>
      </c>
      <c r="I1524" s="102">
        <v>144</v>
      </c>
      <c r="J1524" s="103"/>
      <c r="K1524" s="103"/>
      <c r="L1524" s="103"/>
      <c r="M1524" s="103">
        <v>24</v>
      </c>
      <c r="N1524" s="103"/>
      <c r="O1524" s="103"/>
      <c r="P1524" s="103"/>
      <c r="Q1524" s="103"/>
      <c r="R1524" s="103"/>
      <c r="S1524" s="103"/>
      <c r="T1524" s="103"/>
      <c r="U1524" s="103"/>
      <c r="V1524" s="103"/>
      <c r="W1524" s="103"/>
      <c r="X1524" s="103"/>
      <c r="Y1524" s="103"/>
      <c r="Z1524" s="103"/>
      <c r="AA1524" s="103"/>
      <c r="AB1524" s="103"/>
      <c r="AC1524" s="103"/>
      <c r="AD1524" s="103"/>
      <c r="AE1524" s="103"/>
      <c r="AF1524" s="103"/>
      <c r="AG1524" s="103">
        <v>24</v>
      </c>
      <c r="AH1524" s="103"/>
      <c r="AI1524" s="103"/>
      <c r="AJ1524" s="103"/>
      <c r="AK1524" s="103"/>
      <c r="AL1524" s="103"/>
      <c r="AM1524" s="103"/>
      <c r="AN1524" s="103"/>
      <c r="AO1524" s="103"/>
      <c r="AP1524" s="103"/>
      <c r="AQ1524" s="103"/>
      <c r="AR1524" s="103"/>
      <c r="AS1524" s="103">
        <v>24</v>
      </c>
      <c r="AT1524" s="103"/>
      <c r="AU1524" s="103"/>
      <c r="AV1524" s="103"/>
      <c r="AW1524" s="104" t="str">
        <f>HYPERLINK("http://www.openstreetmap.org/?mlat=36.2508&amp;mlon=41.9698&amp;zoom=12#map=12/36.2508/41.9698","Maplink1")</f>
        <v>Maplink1</v>
      </c>
      <c r="AX1524" s="104" t="str">
        <f>HYPERLINK("https://www.google.iq/maps/search/+36.2508,41.9698/@36.2508,41.9698,14z?hl=en","Maplink2")</f>
        <v>Maplink2</v>
      </c>
      <c r="AY1524" s="104" t="str">
        <f>HYPERLINK("http://www.bing.com/maps/?lvl=14&amp;sty=h&amp;cp=36.2508~41.9698&amp;sp=point.36.2508_41.9698","Maplink3")</f>
        <v>Maplink3</v>
      </c>
    </row>
    <row r="1525" spans="1:51" x14ac:dyDescent="0.2">
      <c r="A1525" s="102">
        <v>34037</v>
      </c>
      <c r="B1525" s="103" t="s">
        <v>35</v>
      </c>
      <c r="C1525" s="103" t="s">
        <v>103</v>
      </c>
      <c r="D1525" s="103" t="s">
        <v>259</v>
      </c>
      <c r="E1525" s="103" t="s">
        <v>149</v>
      </c>
      <c r="F1525" s="103">
        <v>36.158095000000003</v>
      </c>
      <c r="G1525" s="103">
        <v>42.032383000000003</v>
      </c>
      <c r="H1525" s="102">
        <v>29</v>
      </c>
      <c r="I1525" s="102">
        <v>174</v>
      </c>
      <c r="J1525" s="103">
        <v>6</v>
      </c>
      <c r="K1525" s="103"/>
      <c r="L1525" s="103"/>
      <c r="M1525" s="103">
        <v>17</v>
      </c>
      <c r="N1525" s="103">
        <v>6</v>
      </c>
      <c r="O1525" s="103"/>
      <c r="P1525" s="103"/>
      <c r="Q1525" s="103"/>
      <c r="R1525" s="103"/>
      <c r="S1525" s="103"/>
      <c r="T1525" s="103"/>
      <c r="U1525" s="103"/>
      <c r="V1525" s="103"/>
      <c r="W1525" s="103"/>
      <c r="X1525" s="103"/>
      <c r="Y1525" s="103"/>
      <c r="Z1525" s="103"/>
      <c r="AA1525" s="103"/>
      <c r="AB1525" s="103"/>
      <c r="AC1525" s="103"/>
      <c r="AD1525" s="103"/>
      <c r="AE1525" s="103"/>
      <c r="AF1525" s="103"/>
      <c r="AG1525" s="103">
        <v>29</v>
      </c>
      <c r="AH1525" s="103"/>
      <c r="AI1525" s="103"/>
      <c r="AJ1525" s="103"/>
      <c r="AK1525" s="103"/>
      <c r="AL1525" s="103"/>
      <c r="AM1525" s="103"/>
      <c r="AN1525" s="103"/>
      <c r="AO1525" s="103"/>
      <c r="AP1525" s="103"/>
      <c r="AQ1525" s="103"/>
      <c r="AR1525" s="103"/>
      <c r="AS1525" s="103">
        <v>29</v>
      </c>
      <c r="AT1525" s="103"/>
      <c r="AU1525" s="103"/>
      <c r="AV1525" s="103"/>
      <c r="AW1525" s="104" t="str">
        <f>HYPERLINK("http://www.openstreetmap.org/?mlat=36.1581&amp;mlon=42.0324&amp;zoom=12#map=12/36.1581/42.0324","Maplink1")</f>
        <v>Maplink1</v>
      </c>
      <c r="AX1525" s="104" t="str">
        <f>HYPERLINK("https://www.google.iq/maps/search/+36.1581,42.0324/@36.1581,42.0324,14z?hl=en","Maplink2")</f>
        <v>Maplink2</v>
      </c>
      <c r="AY1525" s="104" t="str">
        <f>HYPERLINK("http://www.bing.com/maps/?lvl=14&amp;sty=h&amp;cp=36.1581~42.0324&amp;sp=point.36.1581_42.0324","Maplink3")</f>
        <v>Maplink3</v>
      </c>
    </row>
    <row r="1526" spans="1:51" x14ac:dyDescent="0.2">
      <c r="A1526" s="102">
        <v>34039</v>
      </c>
      <c r="B1526" s="103" t="s">
        <v>35</v>
      </c>
      <c r="C1526" s="103" t="s">
        <v>103</v>
      </c>
      <c r="D1526" s="103" t="s">
        <v>3030</v>
      </c>
      <c r="E1526" s="103" t="s">
        <v>1279</v>
      </c>
      <c r="F1526" s="103">
        <v>36.162261999999998</v>
      </c>
      <c r="G1526" s="103">
        <v>42.040609000000003</v>
      </c>
      <c r="H1526" s="102">
        <v>40</v>
      </c>
      <c r="I1526" s="102">
        <v>240</v>
      </c>
      <c r="J1526" s="103"/>
      <c r="K1526" s="103"/>
      <c r="L1526" s="103"/>
      <c r="M1526" s="103">
        <v>40</v>
      </c>
      <c r="N1526" s="103"/>
      <c r="O1526" s="103"/>
      <c r="P1526" s="103"/>
      <c r="Q1526" s="103"/>
      <c r="R1526" s="103"/>
      <c r="S1526" s="103"/>
      <c r="T1526" s="103"/>
      <c r="U1526" s="103"/>
      <c r="V1526" s="103"/>
      <c r="W1526" s="103"/>
      <c r="X1526" s="103"/>
      <c r="Y1526" s="103"/>
      <c r="Z1526" s="103"/>
      <c r="AA1526" s="103"/>
      <c r="AB1526" s="103"/>
      <c r="AC1526" s="103"/>
      <c r="AD1526" s="103"/>
      <c r="AE1526" s="103"/>
      <c r="AF1526" s="103"/>
      <c r="AG1526" s="103">
        <v>40</v>
      </c>
      <c r="AH1526" s="103"/>
      <c r="AI1526" s="103"/>
      <c r="AJ1526" s="103"/>
      <c r="AK1526" s="103"/>
      <c r="AL1526" s="103"/>
      <c r="AM1526" s="103"/>
      <c r="AN1526" s="103"/>
      <c r="AO1526" s="103"/>
      <c r="AP1526" s="103"/>
      <c r="AQ1526" s="103"/>
      <c r="AR1526" s="103"/>
      <c r="AS1526" s="103">
        <v>40</v>
      </c>
      <c r="AT1526" s="103"/>
      <c r="AU1526" s="103"/>
      <c r="AV1526" s="103"/>
      <c r="AW1526" s="104" t="str">
        <f>HYPERLINK("http://www.openstreetmap.org/?mlat=36.1623&amp;mlon=42.0406&amp;zoom=12#map=12/36.1623/42.0406","Maplink1")</f>
        <v>Maplink1</v>
      </c>
      <c r="AX1526" s="104" t="str">
        <f>HYPERLINK("https://www.google.iq/maps/search/+36.1623,42.0406/@36.1623,42.0406,14z?hl=en","Maplink2")</f>
        <v>Maplink2</v>
      </c>
      <c r="AY1526" s="104" t="str">
        <f>HYPERLINK("http://www.bing.com/maps/?lvl=14&amp;sty=h&amp;cp=36.1623~42.0406&amp;sp=point.36.1623_42.0406","Maplink3")</f>
        <v>Maplink3</v>
      </c>
    </row>
    <row r="1527" spans="1:51" x14ac:dyDescent="0.2">
      <c r="A1527" s="102">
        <v>27284</v>
      </c>
      <c r="B1527" s="103" t="s">
        <v>35</v>
      </c>
      <c r="C1527" s="103" t="s">
        <v>103</v>
      </c>
      <c r="D1527" s="103" t="s">
        <v>3008</v>
      </c>
      <c r="E1527" s="103" t="s">
        <v>3009</v>
      </c>
      <c r="F1527" s="103">
        <v>36.490920780000003</v>
      </c>
      <c r="G1527" s="103">
        <v>41.808304577900003</v>
      </c>
      <c r="H1527" s="102">
        <v>853</v>
      </c>
      <c r="I1527" s="102">
        <v>5118</v>
      </c>
      <c r="J1527" s="103"/>
      <c r="K1527" s="103"/>
      <c r="L1527" s="103"/>
      <c r="M1527" s="103">
        <v>679</v>
      </c>
      <c r="N1527" s="103">
        <v>150</v>
      </c>
      <c r="O1527" s="103"/>
      <c r="P1527" s="103">
        <v>24</v>
      </c>
      <c r="Q1527" s="103"/>
      <c r="R1527" s="103"/>
      <c r="S1527" s="103"/>
      <c r="T1527" s="103"/>
      <c r="U1527" s="103"/>
      <c r="V1527" s="103"/>
      <c r="W1527" s="103"/>
      <c r="X1527" s="103"/>
      <c r="Y1527" s="103">
        <v>782</v>
      </c>
      <c r="Z1527" s="103"/>
      <c r="AA1527" s="103"/>
      <c r="AB1527" s="103"/>
      <c r="AC1527" s="103"/>
      <c r="AD1527" s="103"/>
      <c r="AE1527" s="103"/>
      <c r="AF1527" s="103"/>
      <c r="AG1527" s="103">
        <v>71</v>
      </c>
      <c r="AH1527" s="103"/>
      <c r="AI1527" s="103"/>
      <c r="AJ1527" s="103"/>
      <c r="AK1527" s="103"/>
      <c r="AL1527" s="103"/>
      <c r="AM1527" s="103"/>
      <c r="AN1527" s="103"/>
      <c r="AO1527" s="103">
        <v>853</v>
      </c>
      <c r="AP1527" s="103"/>
      <c r="AQ1527" s="103"/>
      <c r="AR1527" s="103"/>
      <c r="AS1527" s="103"/>
      <c r="AT1527" s="103"/>
      <c r="AU1527" s="103"/>
      <c r="AV1527" s="103"/>
      <c r="AW1527" s="104" t="str">
        <f>HYPERLINK("http://www.openstreetmap.org/?mlat=36.4909&amp;mlon=41.8083&amp;zoom=12#map=12/36.4909/41.8083","Maplink1")</f>
        <v>Maplink1</v>
      </c>
      <c r="AX1527" s="104" t="str">
        <f>HYPERLINK("https://www.google.iq/maps/search/+36.4909,41.8083/@36.4909,41.8083,14z?hl=en","Maplink2")</f>
        <v>Maplink2</v>
      </c>
      <c r="AY1527" s="104" t="str">
        <f>HYPERLINK("http://www.bing.com/maps/?lvl=14&amp;sty=h&amp;cp=36.4909~41.8083&amp;sp=point.36.4909_41.8083","Maplink3")</f>
        <v>Maplink3</v>
      </c>
    </row>
    <row r="1528" spans="1:51" x14ac:dyDescent="0.2">
      <c r="A1528" s="102">
        <v>23667</v>
      </c>
      <c r="B1528" s="103" t="s">
        <v>35</v>
      </c>
      <c r="C1528" s="103" t="s">
        <v>103</v>
      </c>
      <c r="D1528" s="103" t="s">
        <v>3010</v>
      </c>
      <c r="E1528" s="103" t="s">
        <v>3011</v>
      </c>
      <c r="F1528" s="103">
        <v>36.318366645899999</v>
      </c>
      <c r="G1528" s="103">
        <v>41.883048040299997</v>
      </c>
      <c r="H1528" s="102">
        <v>292</v>
      </c>
      <c r="I1528" s="102">
        <v>1752</v>
      </c>
      <c r="J1528" s="103">
        <v>37</v>
      </c>
      <c r="K1528" s="103"/>
      <c r="L1528" s="103"/>
      <c r="M1528" s="103">
        <v>200</v>
      </c>
      <c r="N1528" s="103">
        <v>55</v>
      </c>
      <c r="O1528" s="103"/>
      <c r="P1528" s="103"/>
      <c r="Q1528" s="103"/>
      <c r="R1528" s="103"/>
      <c r="S1528" s="103"/>
      <c r="T1528" s="103"/>
      <c r="U1528" s="103"/>
      <c r="V1528" s="103"/>
      <c r="W1528" s="103"/>
      <c r="X1528" s="103"/>
      <c r="Y1528" s="103">
        <v>191</v>
      </c>
      <c r="Z1528" s="103"/>
      <c r="AA1528" s="103"/>
      <c r="AB1528" s="103"/>
      <c r="AC1528" s="103"/>
      <c r="AD1528" s="103"/>
      <c r="AE1528" s="103"/>
      <c r="AF1528" s="103"/>
      <c r="AG1528" s="103">
        <v>101</v>
      </c>
      <c r="AH1528" s="103"/>
      <c r="AI1528" s="103"/>
      <c r="AJ1528" s="103"/>
      <c r="AK1528" s="103"/>
      <c r="AL1528" s="103"/>
      <c r="AM1528" s="103"/>
      <c r="AN1528" s="103"/>
      <c r="AO1528" s="103">
        <v>292</v>
      </c>
      <c r="AP1528" s="103"/>
      <c r="AQ1528" s="103"/>
      <c r="AR1528" s="103"/>
      <c r="AS1528" s="103"/>
      <c r="AT1528" s="103"/>
      <c r="AU1528" s="103"/>
      <c r="AV1528" s="103"/>
      <c r="AW1528" s="104" t="str">
        <f>HYPERLINK("http://www.openstreetmap.org/?mlat=36.3184&amp;mlon=41.883&amp;zoom=12#map=12/36.3184/41.883","Maplink1")</f>
        <v>Maplink1</v>
      </c>
      <c r="AX1528" s="104" t="str">
        <f>HYPERLINK("https://www.google.iq/maps/search/+36.3184,41.883/@36.3184,41.883,14z?hl=en","Maplink2")</f>
        <v>Maplink2</v>
      </c>
      <c r="AY1528" s="104" t="str">
        <f>HYPERLINK("http://www.bing.com/maps/?lvl=14&amp;sty=h&amp;cp=36.3184~41.883&amp;sp=point.36.3184_41.883","Maplink3")</f>
        <v>Maplink3</v>
      </c>
    </row>
    <row r="1529" spans="1:51" x14ac:dyDescent="0.2">
      <c r="A1529" s="102">
        <v>33515</v>
      </c>
      <c r="B1529" s="103" t="s">
        <v>35</v>
      </c>
      <c r="C1529" s="103" t="s">
        <v>103</v>
      </c>
      <c r="D1529" s="103" t="s">
        <v>3012</v>
      </c>
      <c r="E1529" s="103" t="s">
        <v>512</v>
      </c>
      <c r="F1529" s="103">
        <v>36.556623999999999</v>
      </c>
      <c r="G1529" s="103">
        <v>41.946087433899997</v>
      </c>
      <c r="H1529" s="102">
        <v>43</v>
      </c>
      <c r="I1529" s="102">
        <v>258</v>
      </c>
      <c r="J1529" s="103"/>
      <c r="K1529" s="103"/>
      <c r="L1529" s="103"/>
      <c r="M1529" s="103">
        <v>31</v>
      </c>
      <c r="N1529" s="103">
        <v>12</v>
      </c>
      <c r="O1529" s="103"/>
      <c r="P1529" s="103"/>
      <c r="Q1529" s="103"/>
      <c r="R1529" s="103"/>
      <c r="S1529" s="103"/>
      <c r="T1529" s="103"/>
      <c r="U1529" s="103"/>
      <c r="V1529" s="103"/>
      <c r="W1529" s="103"/>
      <c r="X1529" s="103"/>
      <c r="Y1529" s="103"/>
      <c r="Z1529" s="103"/>
      <c r="AA1529" s="103"/>
      <c r="AB1529" s="103"/>
      <c r="AC1529" s="103"/>
      <c r="AD1529" s="103"/>
      <c r="AE1529" s="103"/>
      <c r="AF1529" s="103"/>
      <c r="AG1529" s="103">
        <v>43</v>
      </c>
      <c r="AH1529" s="103"/>
      <c r="AI1529" s="103"/>
      <c r="AJ1529" s="103"/>
      <c r="AK1529" s="103"/>
      <c r="AL1529" s="103"/>
      <c r="AM1529" s="103"/>
      <c r="AN1529" s="103"/>
      <c r="AO1529" s="103"/>
      <c r="AP1529" s="103"/>
      <c r="AQ1529" s="103">
        <v>43</v>
      </c>
      <c r="AR1529" s="103"/>
      <c r="AS1529" s="103"/>
      <c r="AT1529" s="103"/>
      <c r="AU1529" s="103"/>
      <c r="AV1529" s="103"/>
      <c r="AW1529" s="104" t="str">
        <f>HYPERLINK("http://www.openstreetmap.org/?mlat=36.5566&amp;mlon=41.9461&amp;zoom=12#map=12/36.5566/41.9461","Maplink1")</f>
        <v>Maplink1</v>
      </c>
      <c r="AX1529" s="104" t="str">
        <f>HYPERLINK("https://www.google.iq/maps/search/+36.5566,41.9461/@36.5566,41.9461,14z?hl=en","Maplink2")</f>
        <v>Maplink2</v>
      </c>
      <c r="AY1529" s="104" t="str">
        <f>HYPERLINK("http://www.bing.com/maps/?lvl=14&amp;sty=h&amp;cp=36.5566~41.9461&amp;sp=point.36.5566_41.9461","Maplink3")</f>
        <v>Maplink3</v>
      </c>
    </row>
    <row r="1530" spans="1:51" x14ac:dyDescent="0.2">
      <c r="A1530" s="102">
        <v>33519</v>
      </c>
      <c r="B1530" s="103" t="s">
        <v>35</v>
      </c>
      <c r="C1530" s="103" t="s">
        <v>103</v>
      </c>
      <c r="D1530" s="103" t="s">
        <v>3013</v>
      </c>
      <c r="E1530" s="103" t="s">
        <v>3014</v>
      </c>
      <c r="F1530" s="103">
        <v>36.483847699999998</v>
      </c>
      <c r="G1530" s="103">
        <v>42.118284153399998</v>
      </c>
      <c r="H1530" s="102">
        <v>27</v>
      </c>
      <c r="I1530" s="102">
        <v>162</v>
      </c>
      <c r="J1530" s="103"/>
      <c r="K1530" s="103"/>
      <c r="L1530" s="103"/>
      <c r="M1530" s="103">
        <v>10</v>
      </c>
      <c r="N1530" s="103">
        <v>17</v>
      </c>
      <c r="O1530" s="103"/>
      <c r="P1530" s="103"/>
      <c r="Q1530" s="103"/>
      <c r="R1530" s="103"/>
      <c r="S1530" s="103"/>
      <c r="T1530" s="103"/>
      <c r="U1530" s="103"/>
      <c r="V1530" s="103"/>
      <c r="W1530" s="103"/>
      <c r="X1530" s="103"/>
      <c r="Y1530" s="103"/>
      <c r="Z1530" s="103"/>
      <c r="AA1530" s="103"/>
      <c r="AB1530" s="103"/>
      <c r="AC1530" s="103"/>
      <c r="AD1530" s="103"/>
      <c r="AE1530" s="103"/>
      <c r="AF1530" s="103"/>
      <c r="AG1530" s="103">
        <v>27</v>
      </c>
      <c r="AH1530" s="103"/>
      <c r="AI1530" s="103"/>
      <c r="AJ1530" s="103"/>
      <c r="AK1530" s="103"/>
      <c r="AL1530" s="103"/>
      <c r="AM1530" s="103"/>
      <c r="AN1530" s="103"/>
      <c r="AO1530" s="103"/>
      <c r="AP1530" s="103"/>
      <c r="AQ1530" s="103">
        <v>27</v>
      </c>
      <c r="AR1530" s="103"/>
      <c r="AS1530" s="103"/>
      <c r="AT1530" s="103"/>
      <c r="AU1530" s="103"/>
      <c r="AV1530" s="103"/>
      <c r="AW1530" s="104" t="str">
        <f>HYPERLINK("http://www.openstreetmap.org/?mlat=36.4838&amp;mlon=42.1183&amp;zoom=12#map=12/36.4838/42.1183","Maplink1")</f>
        <v>Maplink1</v>
      </c>
      <c r="AX1530" s="104" t="str">
        <f>HYPERLINK("https://www.google.iq/maps/search/+36.4838,42.1183/@36.4838,42.1183,14z?hl=en","Maplink2")</f>
        <v>Maplink2</v>
      </c>
      <c r="AY1530" s="104" t="str">
        <f>HYPERLINK("http://www.bing.com/maps/?lvl=14&amp;sty=h&amp;cp=36.4838~42.1183&amp;sp=point.36.4838_42.1183","Maplink3")</f>
        <v>Maplink3</v>
      </c>
    </row>
    <row r="1531" spans="1:51" x14ac:dyDescent="0.2">
      <c r="A1531" s="102">
        <v>33655</v>
      </c>
      <c r="B1531" s="103" t="s">
        <v>35</v>
      </c>
      <c r="C1531" s="103" t="s">
        <v>103</v>
      </c>
      <c r="D1531" s="103" t="s">
        <v>4007</v>
      </c>
      <c r="E1531" s="103" t="s">
        <v>4008</v>
      </c>
      <c r="F1531" s="103">
        <v>36.301347300000003</v>
      </c>
      <c r="G1531" s="103">
        <v>41.850508900000001</v>
      </c>
      <c r="H1531" s="102">
        <v>13</v>
      </c>
      <c r="I1531" s="102">
        <v>78</v>
      </c>
      <c r="J1531" s="103"/>
      <c r="K1531" s="103"/>
      <c r="L1531" s="103"/>
      <c r="M1531" s="103">
        <v>13</v>
      </c>
      <c r="N1531" s="103"/>
      <c r="O1531" s="103"/>
      <c r="P1531" s="103"/>
      <c r="Q1531" s="103"/>
      <c r="R1531" s="103"/>
      <c r="S1531" s="103"/>
      <c r="T1531" s="103"/>
      <c r="U1531" s="103"/>
      <c r="V1531" s="103"/>
      <c r="W1531" s="103"/>
      <c r="X1531" s="103"/>
      <c r="Y1531" s="103">
        <v>13</v>
      </c>
      <c r="Z1531" s="103"/>
      <c r="AA1531" s="103"/>
      <c r="AB1531" s="103"/>
      <c r="AC1531" s="103"/>
      <c r="AD1531" s="103"/>
      <c r="AE1531" s="103"/>
      <c r="AF1531" s="103"/>
      <c r="AG1531" s="103"/>
      <c r="AH1531" s="103"/>
      <c r="AI1531" s="103"/>
      <c r="AJ1531" s="103"/>
      <c r="AK1531" s="103"/>
      <c r="AL1531" s="103"/>
      <c r="AM1531" s="103"/>
      <c r="AN1531" s="103"/>
      <c r="AO1531" s="103">
        <v>13</v>
      </c>
      <c r="AP1531" s="103"/>
      <c r="AQ1531" s="103"/>
      <c r="AR1531" s="103"/>
      <c r="AS1531" s="103"/>
      <c r="AT1531" s="103"/>
      <c r="AU1531" s="103"/>
      <c r="AV1531" s="103"/>
      <c r="AW1531" s="104" t="str">
        <f>HYPERLINK("http://www.openstreetmap.org/?mlat=36.3013&amp;mlon=41.8505&amp;zoom=12#map=12/36.3013/41.8505","Maplink1")</f>
        <v>Maplink1</v>
      </c>
      <c r="AX1531" s="104" t="str">
        <f>HYPERLINK("https://www.google.iq/maps/search/+36.3013,41.8505/@36.3013,41.8505,14z?hl=en","Maplink2")</f>
        <v>Maplink2</v>
      </c>
      <c r="AY1531" s="104" t="str">
        <f>HYPERLINK("http://www.bing.com/maps/?lvl=14&amp;sty=h&amp;cp=36.3013~41.8505&amp;sp=point.36.3013_41.8505","Maplink3")</f>
        <v>Maplink3</v>
      </c>
    </row>
    <row r="1532" spans="1:51" x14ac:dyDescent="0.2">
      <c r="A1532" s="102">
        <v>34041</v>
      </c>
      <c r="B1532" s="103" t="s">
        <v>35</v>
      </c>
      <c r="C1532" s="103" t="s">
        <v>103</v>
      </c>
      <c r="D1532" s="103" t="s">
        <v>3015</v>
      </c>
      <c r="E1532" s="103" t="s">
        <v>3016</v>
      </c>
      <c r="F1532" s="103">
        <v>36.158102999999997</v>
      </c>
      <c r="G1532" s="103">
        <v>42.021318000000001</v>
      </c>
      <c r="H1532" s="102">
        <v>46</v>
      </c>
      <c r="I1532" s="102">
        <v>276</v>
      </c>
      <c r="J1532" s="103"/>
      <c r="K1532" s="103"/>
      <c r="L1532" s="103"/>
      <c r="M1532" s="103">
        <v>44</v>
      </c>
      <c r="N1532" s="103"/>
      <c r="O1532" s="103"/>
      <c r="P1532" s="103"/>
      <c r="Q1532" s="103">
        <v>2</v>
      </c>
      <c r="R1532" s="103"/>
      <c r="S1532" s="103"/>
      <c r="T1532" s="103"/>
      <c r="U1532" s="103"/>
      <c r="V1532" s="103"/>
      <c r="W1532" s="103"/>
      <c r="X1532" s="103"/>
      <c r="Y1532" s="103"/>
      <c r="Z1532" s="103"/>
      <c r="AA1532" s="103"/>
      <c r="AB1532" s="103"/>
      <c r="AC1532" s="103"/>
      <c r="AD1532" s="103"/>
      <c r="AE1532" s="103"/>
      <c r="AF1532" s="103"/>
      <c r="AG1532" s="103">
        <v>46</v>
      </c>
      <c r="AH1532" s="103"/>
      <c r="AI1532" s="103"/>
      <c r="AJ1532" s="103"/>
      <c r="AK1532" s="103"/>
      <c r="AL1532" s="103"/>
      <c r="AM1532" s="103"/>
      <c r="AN1532" s="103"/>
      <c r="AO1532" s="103"/>
      <c r="AP1532" s="103"/>
      <c r="AQ1532" s="103"/>
      <c r="AR1532" s="103"/>
      <c r="AS1532" s="103">
        <v>46</v>
      </c>
      <c r="AT1532" s="103"/>
      <c r="AU1532" s="103"/>
      <c r="AV1532" s="103"/>
      <c r="AW1532" s="104" t="str">
        <f>HYPERLINK("http://www.openstreetmap.org/?mlat=36.1581&amp;mlon=42.0213&amp;zoom=12#map=12/36.1581/42.0213","Maplink1")</f>
        <v>Maplink1</v>
      </c>
      <c r="AX1532" s="104" t="str">
        <f>HYPERLINK("https://www.google.iq/maps/search/+36.1581,42.0213/@36.1581,42.0213,14z?hl=en","Maplink2")</f>
        <v>Maplink2</v>
      </c>
      <c r="AY1532" s="104" t="str">
        <f>HYPERLINK("http://www.bing.com/maps/?lvl=14&amp;sty=h&amp;cp=36.1581~42.0213&amp;sp=point.36.1581_42.0213","Maplink3")</f>
        <v>Maplink3</v>
      </c>
    </row>
    <row r="1533" spans="1:51" x14ac:dyDescent="0.2">
      <c r="A1533" s="102">
        <v>27396</v>
      </c>
      <c r="B1533" s="103" t="s">
        <v>35</v>
      </c>
      <c r="C1533" s="103" t="s">
        <v>103</v>
      </c>
      <c r="D1533" s="103" t="s">
        <v>3089</v>
      </c>
      <c r="E1533" s="103" t="s">
        <v>3090</v>
      </c>
      <c r="F1533" s="103">
        <v>36.448735759800002</v>
      </c>
      <c r="G1533" s="103">
        <v>41.756054001300001</v>
      </c>
      <c r="H1533" s="102">
        <v>164</v>
      </c>
      <c r="I1533" s="102">
        <v>984</v>
      </c>
      <c r="J1533" s="103"/>
      <c r="K1533" s="103"/>
      <c r="L1533" s="103"/>
      <c r="M1533" s="103">
        <v>160</v>
      </c>
      <c r="N1533" s="103">
        <v>4</v>
      </c>
      <c r="O1533" s="103"/>
      <c r="P1533" s="103"/>
      <c r="Q1533" s="103"/>
      <c r="R1533" s="103"/>
      <c r="S1533" s="103"/>
      <c r="T1533" s="103"/>
      <c r="U1533" s="103"/>
      <c r="V1533" s="103"/>
      <c r="W1533" s="103"/>
      <c r="X1533" s="103"/>
      <c r="Y1533" s="103">
        <v>145</v>
      </c>
      <c r="Z1533" s="103"/>
      <c r="AA1533" s="103"/>
      <c r="AB1533" s="103"/>
      <c r="AC1533" s="103"/>
      <c r="AD1533" s="103"/>
      <c r="AE1533" s="103"/>
      <c r="AF1533" s="103"/>
      <c r="AG1533" s="103">
        <v>19</v>
      </c>
      <c r="AH1533" s="103"/>
      <c r="AI1533" s="103"/>
      <c r="AJ1533" s="103"/>
      <c r="AK1533" s="103"/>
      <c r="AL1533" s="103"/>
      <c r="AM1533" s="103"/>
      <c r="AN1533" s="103"/>
      <c r="AO1533" s="103">
        <v>164</v>
      </c>
      <c r="AP1533" s="103"/>
      <c r="AQ1533" s="103"/>
      <c r="AR1533" s="103"/>
      <c r="AS1533" s="103"/>
      <c r="AT1533" s="103"/>
      <c r="AU1533" s="103"/>
      <c r="AV1533" s="103"/>
      <c r="AW1533" s="104" t="str">
        <f>HYPERLINK("http://www.openstreetmap.org/?mlat=36.4487&amp;mlon=41.7561&amp;zoom=12#map=12/36.4487/41.7561","Maplink1")</f>
        <v>Maplink1</v>
      </c>
      <c r="AX1533" s="104" t="str">
        <f>HYPERLINK("https://www.google.iq/maps/search/+36.4487,41.7561/@36.4487,41.7561,14z?hl=en","Maplink2")</f>
        <v>Maplink2</v>
      </c>
      <c r="AY1533" s="104" t="str">
        <f>HYPERLINK("http://www.bing.com/maps/?lvl=14&amp;sty=h&amp;cp=36.4487~41.7561&amp;sp=point.36.4487_41.7561","Maplink3")</f>
        <v>Maplink3</v>
      </c>
    </row>
    <row r="1534" spans="1:51" x14ac:dyDescent="0.2">
      <c r="A1534" s="102">
        <v>34036</v>
      </c>
      <c r="B1534" s="103" t="s">
        <v>35</v>
      </c>
      <c r="C1534" s="103" t="s">
        <v>103</v>
      </c>
      <c r="D1534" s="103" t="s">
        <v>3091</v>
      </c>
      <c r="E1534" s="103" t="s">
        <v>2679</v>
      </c>
      <c r="F1534" s="103">
        <v>36.154060000000001</v>
      </c>
      <c r="G1534" s="103">
        <v>42.039687999999998</v>
      </c>
      <c r="H1534" s="102">
        <v>119</v>
      </c>
      <c r="I1534" s="102">
        <v>714</v>
      </c>
      <c r="J1534" s="103">
        <v>10</v>
      </c>
      <c r="K1534" s="103"/>
      <c r="L1534" s="103"/>
      <c r="M1534" s="103">
        <v>105</v>
      </c>
      <c r="N1534" s="103"/>
      <c r="O1534" s="103"/>
      <c r="P1534" s="103"/>
      <c r="Q1534" s="103">
        <v>4</v>
      </c>
      <c r="R1534" s="103"/>
      <c r="S1534" s="103"/>
      <c r="T1534" s="103"/>
      <c r="U1534" s="103"/>
      <c r="V1534" s="103"/>
      <c r="W1534" s="103"/>
      <c r="X1534" s="103"/>
      <c r="Y1534" s="103"/>
      <c r="Z1534" s="103"/>
      <c r="AA1534" s="103">
        <v>2</v>
      </c>
      <c r="AB1534" s="103"/>
      <c r="AC1534" s="103"/>
      <c r="AD1534" s="103"/>
      <c r="AE1534" s="103"/>
      <c r="AF1534" s="103"/>
      <c r="AG1534" s="103">
        <v>117</v>
      </c>
      <c r="AH1534" s="103"/>
      <c r="AI1534" s="103"/>
      <c r="AJ1534" s="103"/>
      <c r="AK1534" s="103"/>
      <c r="AL1534" s="103"/>
      <c r="AM1534" s="103"/>
      <c r="AN1534" s="103"/>
      <c r="AO1534" s="103"/>
      <c r="AP1534" s="103"/>
      <c r="AQ1534" s="103"/>
      <c r="AR1534" s="103"/>
      <c r="AS1534" s="103">
        <v>119</v>
      </c>
      <c r="AT1534" s="103"/>
      <c r="AU1534" s="103"/>
      <c r="AV1534" s="103"/>
      <c r="AW1534" s="104" t="str">
        <f>HYPERLINK("http://www.openstreetmap.org/?mlat=36.1541&amp;mlon=42.0397&amp;zoom=12#map=12/36.1541/42.0397","Maplink1")</f>
        <v>Maplink1</v>
      </c>
      <c r="AX1534" s="104" t="str">
        <f>HYPERLINK("https://www.google.iq/maps/search/+36.1541,42.0397/@36.1541,42.0397,14z?hl=en","Maplink2")</f>
        <v>Maplink2</v>
      </c>
      <c r="AY1534" s="104" t="str">
        <f>HYPERLINK("http://www.bing.com/maps/?lvl=14&amp;sty=h&amp;cp=36.1541~42.0397&amp;sp=point.36.1541_42.0397","Maplink3")</f>
        <v>Maplink3</v>
      </c>
    </row>
    <row r="1535" spans="1:51" x14ac:dyDescent="0.2">
      <c r="A1535" s="102">
        <v>27403</v>
      </c>
      <c r="B1535" s="103" t="s">
        <v>35</v>
      </c>
      <c r="C1535" s="103" t="s">
        <v>103</v>
      </c>
      <c r="D1535" s="103" t="s">
        <v>3022</v>
      </c>
      <c r="E1535" s="103" t="s">
        <v>3023</v>
      </c>
      <c r="F1535" s="103">
        <v>36.452794037099999</v>
      </c>
      <c r="G1535" s="103">
        <v>41.707408143899997</v>
      </c>
      <c r="H1535" s="102">
        <v>163</v>
      </c>
      <c r="I1535" s="102">
        <v>978</v>
      </c>
      <c r="J1535" s="103"/>
      <c r="K1535" s="103"/>
      <c r="L1535" s="103"/>
      <c r="M1535" s="103">
        <v>150</v>
      </c>
      <c r="N1535" s="103">
        <v>13</v>
      </c>
      <c r="O1535" s="103"/>
      <c r="P1535" s="103"/>
      <c r="Q1535" s="103"/>
      <c r="R1535" s="103"/>
      <c r="S1535" s="103"/>
      <c r="T1535" s="103"/>
      <c r="U1535" s="103"/>
      <c r="V1535" s="103"/>
      <c r="W1535" s="103"/>
      <c r="X1535" s="103"/>
      <c r="Y1535" s="103">
        <v>158</v>
      </c>
      <c r="Z1535" s="103"/>
      <c r="AA1535" s="103"/>
      <c r="AB1535" s="103"/>
      <c r="AC1535" s="103"/>
      <c r="AD1535" s="103"/>
      <c r="AE1535" s="103"/>
      <c r="AF1535" s="103"/>
      <c r="AG1535" s="103">
        <v>5</v>
      </c>
      <c r="AH1535" s="103"/>
      <c r="AI1535" s="103"/>
      <c r="AJ1535" s="103"/>
      <c r="AK1535" s="103"/>
      <c r="AL1535" s="103"/>
      <c r="AM1535" s="103"/>
      <c r="AN1535" s="103"/>
      <c r="AO1535" s="103">
        <v>163</v>
      </c>
      <c r="AP1535" s="103"/>
      <c r="AQ1535" s="103"/>
      <c r="AR1535" s="103"/>
      <c r="AS1535" s="103"/>
      <c r="AT1535" s="103"/>
      <c r="AU1535" s="103"/>
      <c r="AV1535" s="103"/>
      <c r="AW1535" s="104" t="str">
        <f>HYPERLINK("http://www.openstreetmap.org/?mlat=36.4528&amp;mlon=41.7074&amp;zoom=12#map=12/36.4528/41.7074","Maplink1")</f>
        <v>Maplink1</v>
      </c>
      <c r="AX1535" s="104" t="str">
        <f>HYPERLINK("https://www.google.iq/maps/search/+36.4528,41.7074/@36.4528,41.7074,14z?hl=en","Maplink2")</f>
        <v>Maplink2</v>
      </c>
      <c r="AY1535" s="104" t="str">
        <f>HYPERLINK("http://www.bing.com/maps/?lvl=14&amp;sty=h&amp;cp=36.4528~41.7074&amp;sp=point.36.4528_41.7074","Maplink3")</f>
        <v>Maplink3</v>
      </c>
    </row>
    <row r="1536" spans="1:51" x14ac:dyDescent="0.2">
      <c r="A1536" s="102">
        <v>33997</v>
      </c>
      <c r="B1536" s="103" t="s">
        <v>35</v>
      </c>
      <c r="C1536" s="103" t="s">
        <v>103</v>
      </c>
      <c r="D1536" s="103" t="s">
        <v>3024</v>
      </c>
      <c r="E1536" s="103" t="s">
        <v>3025</v>
      </c>
      <c r="F1536" s="103">
        <v>36.287615000000002</v>
      </c>
      <c r="G1536" s="103">
        <v>42.176386999999998</v>
      </c>
      <c r="H1536" s="102">
        <v>44</v>
      </c>
      <c r="I1536" s="102">
        <v>264</v>
      </c>
      <c r="J1536" s="103"/>
      <c r="K1536" s="103"/>
      <c r="L1536" s="103"/>
      <c r="M1536" s="103">
        <v>44</v>
      </c>
      <c r="N1536" s="103"/>
      <c r="O1536" s="103"/>
      <c r="P1536" s="103"/>
      <c r="Q1536" s="103"/>
      <c r="R1536" s="103"/>
      <c r="S1536" s="103"/>
      <c r="T1536" s="103"/>
      <c r="U1536" s="103"/>
      <c r="V1536" s="103"/>
      <c r="W1536" s="103"/>
      <c r="X1536" s="103"/>
      <c r="Y1536" s="103"/>
      <c r="Z1536" s="103"/>
      <c r="AA1536" s="103"/>
      <c r="AB1536" s="103"/>
      <c r="AC1536" s="103"/>
      <c r="AD1536" s="103"/>
      <c r="AE1536" s="103"/>
      <c r="AF1536" s="103"/>
      <c r="AG1536" s="103">
        <v>44</v>
      </c>
      <c r="AH1536" s="103"/>
      <c r="AI1536" s="103"/>
      <c r="AJ1536" s="103"/>
      <c r="AK1536" s="103"/>
      <c r="AL1536" s="103"/>
      <c r="AM1536" s="103"/>
      <c r="AN1536" s="103"/>
      <c r="AO1536" s="103"/>
      <c r="AP1536" s="103"/>
      <c r="AQ1536" s="103"/>
      <c r="AR1536" s="103"/>
      <c r="AS1536" s="103">
        <v>44</v>
      </c>
      <c r="AT1536" s="103"/>
      <c r="AU1536" s="103"/>
      <c r="AV1536" s="103"/>
      <c r="AW1536" s="104" t="str">
        <f>HYPERLINK("http://www.openstreetmap.org/?mlat=36.2876&amp;mlon=42.1764&amp;zoom=12#map=12/36.2876/42.1764","Maplink1")</f>
        <v>Maplink1</v>
      </c>
      <c r="AX1536" s="104" t="str">
        <f>HYPERLINK("https://www.google.iq/maps/search/+36.2876,42.1764/@36.2876,42.1764,14z?hl=en","Maplink2")</f>
        <v>Maplink2</v>
      </c>
      <c r="AY1536" s="104" t="str">
        <f>HYPERLINK("http://www.bing.com/maps/?lvl=14&amp;sty=h&amp;cp=36.2876~42.1764&amp;sp=point.36.2876_42.1764","Maplink3")</f>
        <v>Maplink3</v>
      </c>
    </row>
    <row r="1537" spans="1:51" x14ac:dyDescent="0.2">
      <c r="A1537" s="102">
        <v>17720</v>
      </c>
      <c r="B1537" s="103" t="s">
        <v>35</v>
      </c>
      <c r="C1537" s="103" t="s">
        <v>103</v>
      </c>
      <c r="D1537" s="103" t="s">
        <v>3083</v>
      </c>
      <c r="E1537" s="103" t="s">
        <v>3084</v>
      </c>
      <c r="F1537" s="103">
        <v>36.542274243199998</v>
      </c>
      <c r="G1537" s="103">
        <v>41.672109928499999</v>
      </c>
      <c r="H1537" s="102">
        <v>12</v>
      </c>
      <c r="I1537" s="102">
        <v>72</v>
      </c>
      <c r="J1537" s="103"/>
      <c r="K1537" s="103"/>
      <c r="L1537" s="103"/>
      <c r="M1537" s="103">
        <v>12</v>
      </c>
      <c r="N1537" s="103"/>
      <c r="O1537" s="103"/>
      <c r="P1537" s="103"/>
      <c r="Q1537" s="103"/>
      <c r="R1537" s="103"/>
      <c r="S1537" s="103"/>
      <c r="T1537" s="103"/>
      <c r="U1537" s="103"/>
      <c r="V1537" s="103"/>
      <c r="W1537" s="103"/>
      <c r="X1537" s="103"/>
      <c r="Y1537" s="103">
        <v>12</v>
      </c>
      <c r="Z1537" s="103"/>
      <c r="AA1537" s="103"/>
      <c r="AB1537" s="103"/>
      <c r="AC1537" s="103"/>
      <c r="AD1537" s="103"/>
      <c r="AE1537" s="103"/>
      <c r="AF1537" s="103"/>
      <c r="AG1537" s="103"/>
      <c r="AH1537" s="103"/>
      <c r="AI1537" s="103"/>
      <c r="AJ1537" s="103"/>
      <c r="AK1537" s="103"/>
      <c r="AL1537" s="103"/>
      <c r="AM1537" s="103"/>
      <c r="AN1537" s="103"/>
      <c r="AO1537" s="103">
        <v>12</v>
      </c>
      <c r="AP1537" s="103"/>
      <c r="AQ1537" s="103"/>
      <c r="AR1537" s="103"/>
      <c r="AS1537" s="103"/>
      <c r="AT1537" s="103"/>
      <c r="AU1537" s="103"/>
      <c r="AV1537" s="103"/>
      <c r="AW1537" s="104" t="str">
        <f>HYPERLINK("http://www.openstreetmap.org/?mlat=36.5423&amp;mlon=41.6721&amp;zoom=12#map=12/36.5423/41.6721","Maplink1")</f>
        <v>Maplink1</v>
      </c>
      <c r="AX1537" s="104" t="str">
        <f>HYPERLINK("https://www.google.iq/maps/search/+36.5423,41.6721/@36.5423,41.6721,14z?hl=en","Maplink2")</f>
        <v>Maplink2</v>
      </c>
      <c r="AY1537" s="104" t="str">
        <f>HYPERLINK("http://www.bing.com/maps/?lvl=14&amp;sty=h&amp;cp=36.5423~41.6721&amp;sp=point.36.5423_41.6721","Maplink3")</f>
        <v>Maplink3</v>
      </c>
    </row>
    <row r="1538" spans="1:51" x14ac:dyDescent="0.2">
      <c r="A1538" s="102">
        <v>33487</v>
      </c>
      <c r="B1538" s="103" t="s">
        <v>35</v>
      </c>
      <c r="C1538" s="103" t="s">
        <v>103</v>
      </c>
      <c r="D1538" s="103" t="s">
        <v>3085</v>
      </c>
      <c r="E1538" s="103" t="s">
        <v>3086</v>
      </c>
      <c r="F1538" s="103">
        <v>36.178997000000003</v>
      </c>
      <c r="G1538" s="103">
        <v>42.010274699999997</v>
      </c>
      <c r="H1538" s="102">
        <v>76</v>
      </c>
      <c r="I1538" s="102">
        <v>456</v>
      </c>
      <c r="J1538" s="103"/>
      <c r="K1538" s="103"/>
      <c r="L1538" s="103"/>
      <c r="M1538" s="103">
        <v>76</v>
      </c>
      <c r="N1538" s="103"/>
      <c r="O1538" s="103"/>
      <c r="P1538" s="103"/>
      <c r="Q1538" s="103"/>
      <c r="R1538" s="103"/>
      <c r="S1538" s="103"/>
      <c r="T1538" s="103"/>
      <c r="U1538" s="103"/>
      <c r="V1538" s="103"/>
      <c r="W1538" s="103"/>
      <c r="X1538" s="103"/>
      <c r="Y1538" s="103"/>
      <c r="Z1538" s="103"/>
      <c r="AA1538" s="103"/>
      <c r="AB1538" s="103"/>
      <c r="AC1538" s="103"/>
      <c r="AD1538" s="103"/>
      <c r="AE1538" s="103"/>
      <c r="AF1538" s="103"/>
      <c r="AG1538" s="103">
        <v>76</v>
      </c>
      <c r="AH1538" s="103"/>
      <c r="AI1538" s="103"/>
      <c r="AJ1538" s="103"/>
      <c r="AK1538" s="103"/>
      <c r="AL1538" s="103"/>
      <c r="AM1538" s="103"/>
      <c r="AN1538" s="103"/>
      <c r="AO1538" s="103"/>
      <c r="AP1538" s="103"/>
      <c r="AQ1538" s="103"/>
      <c r="AR1538" s="103"/>
      <c r="AS1538" s="103">
        <v>76</v>
      </c>
      <c r="AT1538" s="103"/>
      <c r="AU1538" s="103"/>
      <c r="AV1538" s="103"/>
      <c r="AW1538" s="104" t="str">
        <f>HYPERLINK("http://www.openstreetmap.org/?mlat=36.179&amp;mlon=42.0103&amp;zoom=12#map=12/36.179/42.0103","Maplink1")</f>
        <v>Maplink1</v>
      </c>
      <c r="AX1538" s="104" t="str">
        <f>HYPERLINK("https://www.google.iq/maps/search/+36.179,42.0103/@36.179,42.0103,14z?hl=en","Maplink2")</f>
        <v>Maplink2</v>
      </c>
      <c r="AY1538" s="104" t="str">
        <f>HYPERLINK("http://www.bing.com/maps/?lvl=14&amp;sty=h&amp;cp=36.179~42.0103&amp;sp=point.36.179_42.0103","Maplink3")</f>
        <v>Maplink3</v>
      </c>
    </row>
    <row r="1539" spans="1:51" x14ac:dyDescent="0.2">
      <c r="A1539" s="102">
        <v>33517</v>
      </c>
      <c r="B1539" s="103" t="s">
        <v>35</v>
      </c>
      <c r="C1539" s="103" t="s">
        <v>103</v>
      </c>
      <c r="D1539" s="103" t="s">
        <v>3087</v>
      </c>
      <c r="E1539" s="103" t="s">
        <v>3088</v>
      </c>
      <c r="F1539" s="103">
        <v>36.591867000000001</v>
      </c>
      <c r="G1539" s="103">
        <v>41.873504639799997</v>
      </c>
      <c r="H1539" s="102">
        <v>235</v>
      </c>
      <c r="I1539" s="102">
        <v>1410</v>
      </c>
      <c r="J1539" s="103"/>
      <c r="K1539" s="103"/>
      <c r="L1539" s="103"/>
      <c r="M1539" s="103">
        <v>135</v>
      </c>
      <c r="N1539" s="103">
        <v>100</v>
      </c>
      <c r="O1539" s="103"/>
      <c r="P1539" s="103"/>
      <c r="Q1539" s="103"/>
      <c r="R1539" s="103"/>
      <c r="S1539" s="103"/>
      <c r="T1539" s="103"/>
      <c r="U1539" s="103"/>
      <c r="V1539" s="103"/>
      <c r="W1539" s="103"/>
      <c r="X1539" s="103"/>
      <c r="Y1539" s="103">
        <v>50</v>
      </c>
      <c r="Z1539" s="103"/>
      <c r="AA1539" s="103"/>
      <c r="AB1539" s="103"/>
      <c r="AC1539" s="103"/>
      <c r="AD1539" s="103"/>
      <c r="AE1539" s="103"/>
      <c r="AF1539" s="103"/>
      <c r="AG1539" s="103">
        <v>185</v>
      </c>
      <c r="AH1539" s="103"/>
      <c r="AI1539" s="103"/>
      <c r="AJ1539" s="103"/>
      <c r="AK1539" s="103"/>
      <c r="AL1539" s="103"/>
      <c r="AM1539" s="103"/>
      <c r="AN1539" s="103"/>
      <c r="AO1539" s="103"/>
      <c r="AP1539" s="103"/>
      <c r="AQ1539" s="103">
        <v>235</v>
      </c>
      <c r="AR1539" s="103"/>
      <c r="AS1539" s="103"/>
      <c r="AT1539" s="103"/>
      <c r="AU1539" s="103"/>
      <c r="AV1539" s="103"/>
      <c r="AW1539" s="104" t="str">
        <f>HYPERLINK("http://www.openstreetmap.org/?mlat=36.5919&amp;mlon=41.8735&amp;zoom=12#map=12/36.5919/41.8735","Maplink1")</f>
        <v>Maplink1</v>
      </c>
      <c r="AX1539" s="104" t="str">
        <f>HYPERLINK("https://www.google.iq/maps/search/+36.5919,41.8735/@36.5919,41.8735,14z?hl=en","Maplink2")</f>
        <v>Maplink2</v>
      </c>
      <c r="AY1539" s="104" t="str">
        <f>HYPERLINK("http://www.bing.com/maps/?lvl=14&amp;sty=h&amp;cp=36.5919~41.8735&amp;sp=point.36.5919_41.8735","Maplink3")</f>
        <v>Maplink3</v>
      </c>
    </row>
    <row r="1540" spans="1:51" x14ac:dyDescent="0.2">
      <c r="A1540" s="102">
        <v>22490</v>
      </c>
      <c r="B1540" s="103" t="s">
        <v>35</v>
      </c>
      <c r="C1540" s="103" t="s">
        <v>103</v>
      </c>
      <c r="D1540" s="103" t="s">
        <v>3062</v>
      </c>
      <c r="E1540" s="103" t="s">
        <v>254</v>
      </c>
      <c r="F1540" s="103">
        <v>36.320513241699999</v>
      </c>
      <c r="G1540" s="103">
        <v>41.8468825936</v>
      </c>
      <c r="H1540" s="102">
        <v>85</v>
      </c>
      <c r="I1540" s="102">
        <v>510</v>
      </c>
      <c r="J1540" s="103">
        <v>42</v>
      </c>
      <c r="K1540" s="103"/>
      <c r="L1540" s="103"/>
      <c r="M1540" s="103">
        <v>35</v>
      </c>
      <c r="N1540" s="103">
        <v>8</v>
      </c>
      <c r="O1540" s="103"/>
      <c r="P1540" s="103"/>
      <c r="Q1540" s="103"/>
      <c r="R1540" s="103"/>
      <c r="S1540" s="103"/>
      <c r="T1540" s="103"/>
      <c r="U1540" s="103"/>
      <c r="V1540" s="103"/>
      <c r="W1540" s="103"/>
      <c r="X1540" s="103"/>
      <c r="Y1540" s="103">
        <v>67</v>
      </c>
      <c r="Z1540" s="103"/>
      <c r="AA1540" s="103"/>
      <c r="AB1540" s="103"/>
      <c r="AC1540" s="103"/>
      <c r="AD1540" s="103"/>
      <c r="AE1540" s="103"/>
      <c r="AF1540" s="103"/>
      <c r="AG1540" s="103">
        <v>18</v>
      </c>
      <c r="AH1540" s="103"/>
      <c r="AI1540" s="103"/>
      <c r="AJ1540" s="103"/>
      <c r="AK1540" s="103"/>
      <c r="AL1540" s="103"/>
      <c r="AM1540" s="103"/>
      <c r="AN1540" s="103"/>
      <c r="AO1540" s="103">
        <v>85</v>
      </c>
      <c r="AP1540" s="103"/>
      <c r="AQ1540" s="103"/>
      <c r="AR1540" s="103"/>
      <c r="AS1540" s="103"/>
      <c r="AT1540" s="103"/>
      <c r="AU1540" s="103"/>
      <c r="AV1540" s="103"/>
      <c r="AW1540" s="104" t="str">
        <f>HYPERLINK("http://www.openstreetmap.org/?mlat=36.3205&amp;mlon=41.8469&amp;zoom=12#map=12/36.3205/41.8469","Maplink1")</f>
        <v>Maplink1</v>
      </c>
      <c r="AX1540" s="104" t="str">
        <f>HYPERLINK("https://www.google.iq/maps/search/+36.3205,41.8469/@36.3205,41.8469,14z?hl=en","Maplink2")</f>
        <v>Maplink2</v>
      </c>
      <c r="AY1540" s="104" t="str">
        <f>HYPERLINK("http://www.bing.com/maps/?lvl=14&amp;sty=h&amp;cp=36.3205~41.8469&amp;sp=point.36.3205_41.8469","Maplink3")</f>
        <v>Maplink3</v>
      </c>
    </row>
    <row r="1541" spans="1:51" x14ac:dyDescent="0.2">
      <c r="A1541" s="102">
        <v>27360</v>
      </c>
      <c r="B1541" s="103" t="s">
        <v>35</v>
      </c>
      <c r="C1541" s="103" t="s">
        <v>103</v>
      </c>
      <c r="D1541" s="103" t="s">
        <v>3063</v>
      </c>
      <c r="E1541" s="103" t="s">
        <v>3064</v>
      </c>
      <c r="F1541" s="103">
        <v>36.371200000000002</v>
      </c>
      <c r="G1541" s="103">
        <v>41.490699999999997</v>
      </c>
      <c r="H1541" s="102">
        <v>29</v>
      </c>
      <c r="I1541" s="102">
        <v>174</v>
      </c>
      <c r="J1541" s="103"/>
      <c r="K1541" s="103"/>
      <c r="L1541" s="103"/>
      <c r="M1541" s="103">
        <v>20</v>
      </c>
      <c r="N1541" s="103">
        <v>9</v>
      </c>
      <c r="O1541" s="103"/>
      <c r="P1541" s="103"/>
      <c r="Q1541" s="103"/>
      <c r="R1541" s="103"/>
      <c r="S1541" s="103"/>
      <c r="T1541" s="103"/>
      <c r="U1541" s="103"/>
      <c r="V1541" s="103"/>
      <c r="W1541" s="103"/>
      <c r="X1541" s="103"/>
      <c r="Y1541" s="103">
        <v>25</v>
      </c>
      <c r="Z1541" s="103"/>
      <c r="AA1541" s="103"/>
      <c r="AB1541" s="103"/>
      <c r="AC1541" s="103"/>
      <c r="AD1541" s="103"/>
      <c r="AE1541" s="103"/>
      <c r="AF1541" s="103"/>
      <c r="AG1541" s="103">
        <v>4</v>
      </c>
      <c r="AH1541" s="103"/>
      <c r="AI1541" s="103"/>
      <c r="AJ1541" s="103"/>
      <c r="AK1541" s="103"/>
      <c r="AL1541" s="103"/>
      <c r="AM1541" s="103"/>
      <c r="AN1541" s="103"/>
      <c r="AO1541" s="103">
        <v>29</v>
      </c>
      <c r="AP1541" s="103"/>
      <c r="AQ1541" s="103"/>
      <c r="AR1541" s="103"/>
      <c r="AS1541" s="103"/>
      <c r="AT1541" s="103"/>
      <c r="AU1541" s="103"/>
      <c r="AV1541" s="103"/>
      <c r="AW1541" s="104" t="str">
        <f>HYPERLINK("http://www.openstreetmap.org/?mlat=36.3712&amp;mlon=41.4907&amp;zoom=12#map=12/36.3712/41.4907","Maplink1")</f>
        <v>Maplink1</v>
      </c>
      <c r="AX1541" s="104" t="str">
        <f>HYPERLINK("https://www.google.iq/maps/search/+36.3712,41.4907/@36.3712,41.4907,14z?hl=en","Maplink2")</f>
        <v>Maplink2</v>
      </c>
      <c r="AY1541" s="104" t="str">
        <f>HYPERLINK("http://www.bing.com/maps/?lvl=14&amp;sty=h&amp;cp=36.3712~41.4907&amp;sp=point.36.3712_41.4907","Maplink3")</f>
        <v>Maplink3</v>
      </c>
    </row>
    <row r="1542" spans="1:51" x14ac:dyDescent="0.2">
      <c r="A1542" s="102">
        <v>27399</v>
      </c>
      <c r="B1542" s="103" t="s">
        <v>35</v>
      </c>
      <c r="C1542" s="103" t="s">
        <v>103</v>
      </c>
      <c r="D1542" s="103" t="s">
        <v>3065</v>
      </c>
      <c r="E1542" s="103" t="s">
        <v>3066</v>
      </c>
      <c r="F1542" s="103">
        <v>36.429840782900001</v>
      </c>
      <c r="G1542" s="103">
        <v>41.868082333099998</v>
      </c>
      <c r="H1542" s="102">
        <v>160</v>
      </c>
      <c r="I1542" s="102">
        <v>960</v>
      </c>
      <c r="J1542" s="103"/>
      <c r="K1542" s="103"/>
      <c r="L1542" s="103"/>
      <c r="M1542" s="103">
        <v>160</v>
      </c>
      <c r="N1542" s="103"/>
      <c r="O1542" s="103"/>
      <c r="P1542" s="103"/>
      <c r="Q1542" s="103"/>
      <c r="R1542" s="103"/>
      <c r="S1542" s="103"/>
      <c r="T1542" s="103"/>
      <c r="U1542" s="103"/>
      <c r="V1542" s="103"/>
      <c r="W1542" s="103"/>
      <c r="X1542" s="103"/>
      <c r="Y1542" s="103">
        <v>160</v>
      </c>
      <c r="Z1542" s="103"/>
      <c r="AA1542" s="103"/>
      <c r="AB1542" s="103"/>
      <c r="AC1542" s="103"/>
      <c r="AD1542" s="103"/>
      <c r="AE1542" s="103"/>
      <c r="AF1542" s="103"/>
      <c r="AG1542" s="103"/>
      <c r="AH1542" s="103"/>
      <c r="AI1542" s="103"/>
      <c r="AJ1542" s="103"/>
      <c r="AK1542" s="103"/>
      <c r="AL1542" s="103"/>
      <c r="AM1542" s="103"/>
      <c r="AN1542" s="103"/>
      <c r="AO1542" s="103">
        <v>160</v>
      </c>
      <c r="AP1542" s="103"/>
      <c r="AQ1542" s="103"/>
      <c r="AR1542" s="103"/>
      <c r="AS1542" s="103"/>
      <c r="AT1542" s="103"/>
      <c r="AU1542" s="103"/>
      <c r="AV1542" s="103"/>
      <c r="AW1542" s="104" t="str">
        <f>HYPERLINK("http://www.openstreetmap.org/?mlat=36.4298&amp;mlon=41.8681&amp;zoom=12#map=12/36.4298/41.8681","Maplink1")</f>
        <v>Maplink1</v>
      </c>
      <c r="AX1542" s="104" t="str">
        <f>HYPERLINK("https://www.google.iq/maps/search/+36.4298,41.8681/@36.4298,41.8681,14z?hl=en","Maplink2")</f>
        <v>Maplink2</v>
      </c>
      <c r="AY1542" s="104" t="str">
        <f>HYPERLINK("http://www.bing.com/maps/?lvl=14&amp;sty=h&amp;cp=36.4298~41.8681&amp;sp=point.36.4298_41.8681","Maplink3")</f>
        <v>Maplink3</v>
      </c>
    </row>
    <row r="1543" spans="1:51" x14ac:dyDescent="0.2">
      <c r="A1543" s="102">
        <v>28448</v>
      </c>
      <c r="B1543" s="103" t="s">
        <v>35</v>
      </c>
      <c r="C1543" s="103" t="s">
        <v>103</v>
      </c>
      <c r="D1543" s="103" t="s">
        <v>3067</v>
      </c>
      <c r="E1543" s="103" t="s">
        <v>3068</v>
      </c>
      <c r="F1543" s="103">
        <v>36.42316417</v>
      </c>
      <c r="G1543" s="103">
        <v>41.866734051800002</v>
      </c>
      <c r="H1543" s="102">
        <v>45</v>
      </c>
      <c r="I1543" s="102">
        <v>270</v>
      </c>
      <c r="J1543" s="103"/>
      <c r="K1543" s="103"/>
      <c r="L1543" s="103"/>
      <c r="M1543" s="103">
        <v>18</v>
      </c>
      <c r="N1543" s="103"/>
      <c r="O1543" s="103">
        <v>17</v>
      </c>
      <c r="P1543" s="103">
        <v>10</v>
      </c>
      <c r="Q1543" s="103"/>
      <c r="R1543" s="103"/>
      <c r="S1543" s="103"/>
      <c r="T1543" s="103"/>
      <c r="U1543" s="103"/>
      <c r="V1543" s="103"/>
      <c r="W1543" s="103"/>
      <c r="X1543" s="103"/>
      <c r="Y1543" s="103">
        <v>45</v>
      </c>
      <c r="Z1543" s="103"/>
      <c r="AA1543" s="103"/>
      <c r="AB1543" s="103"/>
      <c r="AC1543" s="103"/>
      <c r="AD1543" s="103"/>
      <c r="AE1543" s="103"/>
      <c r="AF1543" s="103"/>
      <c r="AG1543" s="103"/>
      <c r="AH1543" s="103"/>
      <c r="AI1543" s="103"/>
      <c r="AJ1543" s="103"/>
      <c r="AK1543" s="103"/>
      <c r="AL1543" s="103"/>
      <c r="AM1543" s="103"/>
      <c r="AN1543" s="103"/>
      <c r="AO1543" s="103">
        <v>45</v>
      </c>
      <c r="AP1543" s="103"/>
      <c r="AQ1543" s="103"/>
      <c r="AR1543" s="103"/>
      <c r="AS1543" s="103"/>
      <c r="AT1543" s="103"/>
      <c r="AU1543" s="103"/>
      <c r="AV1543" s="103"/>
      <c r="AW1543" s="104" t="str">
        <f>HYPERLINK("http://www.openstreetmap.org/?mlat=36.4232&amp;mlon=41.8667&amp;zoom=12#map=12/36.4232/41.8667","Maplink1")</f>
        <v>Maplink1</v>
      </c>
      <c r="AX1543" s="104" t="str">
        <f>HYPERLINK("https://www.google.iq/maps/search/+36.4232,41.8667/@36.4232,41.8667,14z?hl=en","Maplink2")</f>
        <v>Maplink2</v>
      </c>
      <c r="AY1543" s="104" t="str">
        <f>HYPERLINK("http://www.bing.com/maps/?lvl=14&amp;sty=h&amp;cp=36.4232~41.8667&amp;sp=point.36.4232_41.8667","Maplink3")</f>
        <v>Maplink3</v>
      </c>
    </row>
    <row r="1544" spans="1:51" x14ac:dyDescent="0.2">
      <c r="A1544" s="102">
        <v>22487</v>
      </c>
      <c r="B1544" s="103" t="s">
        <v>35</v>
      </c>
      <c r="C1544" s="103" t="s">
        <v>103</v>
      </c>
      <c r="D1544" s="103" t="s">
        <v>1921</v>
      </c>
      <c r="E1544" s="103" t="s">
        <v>1922</v>
      </c>
      <c r="F1544" s="103">
        <v>36.315899098300001</v>
      </c>
      <c r="G1544" s="103">
        <v>41.855111987500003</v>
      </c>
      <c r="H1544" s="102">
        <v>122</v>
      </c>
      <c r="I1544" s="102">
        <v>732</v>
      </c>
      <c r="J1544" s="103">
        <v>62</v>
      </c>
      <c r="K1544" s="103"/>
      <c r="L1544" s="103"/>
      <c r="M1544" s="103">
        <v>45</v>
      </c>
      <c r="N1544" s="103">
        <v>15</v>
      </c>
      <c r="O1544" s="103"/>
      <c r="P1544" s="103"/>
      <c r="Q1544" s="103"/>
      <c r="R1544" s="103"/>
      <c r="S1544" s="103"/>
      <c r="T1544" s="103"/>
      <c r="U1544" s="103"/>
      <c r="V1544" s="103"/>
      <c r="W1544" s="103"/>
      <c r="X1544" s="103"/>
      <c r="Y1544" s="103">
        <v>90</v>
      </c>
      <c r="Z1544" s="103"/>
      <c r="AA1544" s="103"/>
      <c r="AB1544" s="103"/>
      <c r="AC1544" s="103"/>
      <c r="AD1544" s="103"/>
      <c r="AE1544" s="103"/>
      <c r="AF1544" s="103"/>
      <c r="AG1544" s="103">
        <v>32</v>
      </c>
      <c r="AH1544" s="103"/>
      <c r="AI1544" s="103"/>
      <c r="AJ1544" s="103"/>
      <c r="AK1544" s="103"/>
      <c r="AL1544" s="103"/>
      <c r="AM1544" s="103"/>
      <c r="AN1544" s="103"/>
      <c r="AO1544" s="103">
        <v>122</v>
      </c>
      <c r="AP1544" s="103"/>
      <c r="AQ1544" s="103"/>
      <c r="AR1544" s="103"/>
      <c r="AS1544" s="103"/>
      <c r="AT1544" s="103"/>
      <c r="AU1544" s="103"/>
      <c r="AV1544" s="103"/>
      <c r="AW1544" s="104" t="str">
        <f>HYPERLINK("http://www.openstreetmap.org/?mlat=36.3159&amp;mlon=41.8551&amp;zoom=12#map=12/36.3159/41.8551","Maplink1")</f>
        <v>Maplink1</v>
      </c>
      <c r="AX1544" s="104" t="str">
        <f>HYPERLINK("https://www.google.iq/maps/search/+36.3159,41.8551/@36.3159,41.8551,14z?hl=en","Maplink2")</f>
        <v>Maplink2</v>
      </c>
      <c r="AY1544" s="104" t="str">
        <f>HYPERLINK("http://www.bing.com/maps/?lvl=14&amp;sty=h&amp;cp=36.3159~41.8551&amp;sp=point.36.3159_41.8551","Maplink3")</f>
        <v>Maplink3</v>
      </c>
    </row>
    <row r="1545" spans="1:51" x14ac:dyDescent="0.2">
      <c r="A1545" s="102">
        <v>33874</v>
      </c>
      <c r="B1545" s="103" t="s">
        <v>35</v>
      </c>
      <c r="C1545" s="103" t="s">
        <v>103</v>
      </c>
      <c r="D1545" s="103" t="s">
        <v>3069</v>
      </c>
      <c r="E1545" s="103" t="s">
        <v>3070</v>
      </c>
      <c r="F1545" s="103">
        <v>36.319445000000002</v>
      </c>
      <c r="G1545" s="103">
        <v>42.210279</v>
      </c>
      <c r="H1545" s="102">
        <v>199</v>
      </c>
      <c r="I1545" s="102">
        <v>1194</v>
      </c>
      <c r="J1545" s="103"/>
      <c r="K1545" s="103"/>
      <c r="L1545" s="103"/>
      <c r="M1545" s="103">
        <v>199</v>
      </c>
      <c r="N1545" s="103"/>
      <c r="O1545" s="103"/>
      <c r="P1545" s="103"/>
      <c r="Q1545" s="103"/>
      <c r="R1545" s="103"/>
      <c r="S1545" s="103"/>
      <c r="T1545" s="103"/>
      <c r="U1545" s="103"/>
      <c r="V1545" s="103"/>
      <c r="W1545" s="103"/>
      <c r="X1545" s="103"/>
      <c r="Y1545" s="103"/>
      <c r="Z1545" s="103"/>
      <c r="AA1545" s="103"/>
      <c r="AB1545" s="103"/>
      <c r="AC1545" s="103"/>
      <c r="AD1545" s="103"/>
      <c r="AE1545" s="103"/>
      <c r="AF1545" s="103"/>
      <c r="AG1545" s="103">
        <v>199</v>
      </c>
      <c r="AH1545" s="103"/>
      <c r="AI1545" s="103"/>
      <c r="AJ1545" s="103"/>
      <c r="AK1545" s="103"/>
      <c r="AL1545" s="103"/>
      <c r="AM1545" s="103"/>
      <c r="AN1545" s="103"/>
      <c r="AO1545" s="103"/>
      <c r="AP1545" s="103"/>
      <c r="AQ1545" s="103"/>
      <c r="AR1545" s="103"/>
      <c r="AS1545" s="103">
        <v>199</v>
      </c>
      <c r="AT1545" s="103"/>
      <c r="AU1545" s="103"/>
      <c r="AV1545" s="103"/>
      <c r="AW1545" s="104" t="str">
        <f>HYPERLINK("http://www.openstreetmap.org/?mlat=36.3194&amp;mlon=42.2103&amp;zoom=12#map=12/36.3194/42.2103","Maplink1")</f>
        <v>Maplink1</v>
      </c>
      <c r="AX1545" s="104" t="str">
        <f>HYPERLINK("https://www.google.iq/maps/search/+36.3194,42.2103/@36.3194,42.2103,14z?hl=en","Maplink2")</f>
        <v>Maplink2</v>
      </c>
      <c r="AY1545" s="104" t="str">
        <f>HYPERLINK("http://www.bing.com/maps/?lvl=14&amp;sty=h&amp;cp=36.3194~42.2103&amp;sp=point.36.3194_42.2103","Maplink3")</f>
        <v>Maplink3</v>
      </c>
    </row>
    <row r="1546" spans="1:51" x14ac:dyDescent="0.2">
      <c r="A1546" s="102">
        <v>33483</v>
      </c>
      <c r="B1546" s="103" t="s">
        <v>35</v>
      </c>
      <c r="C1546" s="103" t="s">
        <v>103</v>
      </c>
      <c r="D1546" s="103" t="s">
        <v>3036</v>
      </c>
      <c r="E1546" s="103" t="s">
        <v>3037</v>
      </c>
      <c r="F1546" s="103">
        <v>36.147562999999998</v>
      </c>
      <c r="G1546" s="103">
        <v>42.0674511</v>
      </c>
      <c r="H1546" s="102">
        <v>30</v>
      </c>
      <c r="I1546" s="102">
        <v>180</v>
      </c>
      <c r="J1546" s="103"/>
      <c r="K1546" s="103"/>
      <c r="L1546" s="103"/>
      <c r="M1546" s="103">
        <v>30</v>
      </c>
      <c r="N1546" s="103"/>
      <c r="O1546" s="103"/>
      <c r="P1546" s="103"/>
      <c r="Q1546" s="103"/>
      <c r="R1546" s="103"/>
      <c r="S1546" s="103"/>
      <c r="T1546" s="103"/>
      <c r="U1546" s="103"/>
      <c r="V1546" s="103"/>
      <c r="W1546" s="103"/>
      <c r="X1546" s="103"/>
      <c r="Y1546" s="103"/>
      <c r="Z1546" s="103"/>
      <c r="AA1546" s="103"/>
      <c r="AB1546" s="103"/>
      <c r="AC1546" s="103"/>
      <c r="AD1546" s="103"/>
      <c r="AE1546" s="103"/>
      <c r="AF1546" s="103"/>
      <c r="AG1546" s="103">
        <v>30</v>
      </c>
      <c r="AH1546" s="103"/>
      <c r="AI1546" s="103"/>
      <c r="AJ1546" s="103"/>
      <c r="AK1546" s="103"/>
      <c r="AL1546" s="103"/>
      <c r="AM1546" s="103"/>
      <c r="AN1546" s="103"/>
      <c r="AO1546" s="103"/>
      <c r="AP1546" s="103"/>
      <c r="AQ1546" s="103"/>
      <c r="AR1546" s="103"/>
      <c r="AS1546" s="103">
        <v>30</v>
      </c>
      <c r="AT1546" s="103"/>
      <c r="AU1546" s="103"/>
      <c r="AV1546" s="103"/>
      <c r="AW1546" s="104" t="str">
        <f>HYPERLINK("http://www.openstreetmap.org/?mlat=36.1476&amp;mlon=42.0675&amp;zoom=12#map=12/36.1476/42.0675","Maplink1")</f>
        <v>Maplink1</v>
      </c>
      <c r="AX1546" s="104" t="str">
        <f>HYPERLINK("https://www.google.iq/maps/search/+36.1476,42.0675/@36.1476,42.0675,14z?hl=en","Maplink2")</f>
        <v>Maplink2</v>
      </c>
      <c r="AY1546" s="104" t="str">
        <f>HYPERLINK("http://www.bing.com/maps/?lvl=14&amp;sty=h&amp;cp=36.1476~42.0675&amp;sp=point.36.1476_42.0675","Maplink3")</f>
        <v>Maplink3</v>
      </c>
    </row>
    <row r="1547" spans="1:51" x14ac:dyDescent="0.2">
      <c r="A1547" s="102">
        <v>33905</v>
      </c>
      <c r="B1547" s="103" t="s">
        <v>35</v>
      </c>
      <c r="C1547" s="103" t="s">
        <v>103</v>
      </c>
      <c r="D1547" s="103" t="s">
        <v>3038</v>
      </c>
      <c r="E1547" s="103" t="s">
        <v>2578</v>
      </c>
      <c r="F1547" s="103">
        <v>36.135176999999999</v>
      </c>
      <c r="G1547" s="103">
        <v>42.011940000000003</v>
      </c>
      <c r="H1547" s="102">
        <v>14</v>
      </c>
      <c r="I1547" s="102">
        <v>84</v>
      </c>
      <c r="J1547" s="103"/>
      <c r="K1547" s="103"/>
      <c r="L1547" s="103"/>
      <c r="M1547" s="103">
        <v>14</v>
      </c>
      <c r="N1547" s="103"/>
      <c r="O1547" s="103"/>
      <c r="P1547" s="103"/>
      <c r="Q1547" s="103"/>
      <c r="R1547" s="103"/>
      <c r="S1547" s="103"/>
      <c r="T1547" s="103"/>
      <c r="U1547" s="103"/>
      <c r="V1547" s="103"/>
      <c r="W1547" s="103"/>
      <c r="X1547" s="103"/>
      <c r="Y1547" s="103"/>
      <c r="Z1547" s="103"/>
      <c r="AA1547" s="103"/>
      <c r="AB1547" s="103"/>
      <c r="AC1547" s="103"/>
      <c r="AD1547" s="103"/>
      <c r="AE1547" s="103"/>
      <c r="AF1547" s="103"/>
      <c r="AG1547" s="103">
        <v>14</v>
      </c>
      <c r="AH1547" s="103"/>
      <c r="AI1547" s="103"/>
      <c r="AJ1547" s="103"/>
      <c r="AK1547" s="103"/>
      <c r="AL1547" s="103"/>
      <c r="AM1547" s="103"/>
      <c r="AN1547" s="103"/>
      <c r="AO1547" s="103"/>
      <c r="AP1547" s="103"/>
      <c r="AQ1547" s="103"/>
      <c r="AR1547" s="103"/>
      <c r="AS1547" s="103">
        <v>14</v>
      </c>
      <c r="AT1547" s="103"/>
      <c r="AU1547" s="103"/>
      <c r="AV1547" s="103"/>
      <c r="AW1547" s="104" t="str">
        <f>HYPERLINK("http://www.openstreetmap.org/?mlat=36.1352&amp;mlon=42.0119&amp;zoom=12#map=12/36.1352/42.0119","Maplink1")</f>
        <v>Maplink1</v>
      </c>
      <c r="AX1547" s="104" t="str">
        <f>HYPERLINK("https://www.google.iq/maps/search/+36.1352,42.0119/@36.1352,42.0119,14z?hl=en","Maplink2")</f>
        <v>Maplink2</v>
      </c>
      <c r="AY1547" s="104" t="str">
        <f>HYPERLINK("http://www.bing.com/maps/?lvl=14&amp;sty=h&amp;cp=36.1352~42.0119&amp;sp=point.36.1352_42.0119","Maplink3")</f>
        <v>Maplink3</v>
      </c>
    </row>
    <row r="1548" spans="1:51" x14ac:dyDescent="0.2">
      <c r="A1548" s="102">
        <v>34034</v>
      </c>
      <c r="B1548" s="103" t="s">
        <v>35</v>
      </c>
      <c r="C1548" s="103" t="s">
        <v>103</v>
      </c>
      <c r="D1548" s="103" t="s">
        <v>3039</v>
      </c>
      <c r="E1548" s="103" t="s">
        <v>3040</v>
      </c>
      <c r="F1548" s="103">
        <v>36.161116</v>
      </c>
      <c r="G1548" s="103">
        <v>42.026792999999998</v>
      </c>
      <c r="H1548" s="102">
        <v>143</v>
      </c>
      <c r="I1548" s="102">
        <v>858</v>
      </c>
      <c r="J1548" s="103">
        <v>3</v>
      </c>
      <c r="K1548" s="103"/>
      <c r="L1548" s="103"/>
      <c r="M1548" s="103">
        <v>137</v>
      </c>
      <c r="N1548" s="103">
        <v>3</v>
      </c>
      <c r="O1548" s="103"/>
      <c r="P1548" s="103"/>
      <c r="Q1548" s="103"/>
      <c r="R1548" s="103"/>
      <c r="S1548" s="103"/>
      <c r="T1548" s="103"/>
      <c r="U1548" s="103"/>
      <c r="V1548" s="103"/>
      <c r="W1548" s="103">
        <v>2</v>
      </c>
      <c r="X1548" s="103"/>
      <c r="Y1548" s="103">
        <v>3</v>
      </c>
      <c r="Z1548" s="103"/>
      <c r="AA1548" s="103">
        <v>6</v>
      </c>
      <c r="AB1548" s="103"/>
      <c r="AC1548" s="103"/>
      <c r="AD1548" s="103"/>
      <c r="AE1548" s="103"/>
      <c r="AF1548" s="103"/>
      <c r="AG1548" s="103">
        <v>132</v>
      </c>
      <c r="AH1548" s="103"/>
      <c r="AI1548" s="103"/>
      <c r="AJ1548" s="103"/>
      <c r="AK1548" s="103"/>
      <c r="AL1548" s="103"/>
      <c r="AM1548" s="103"/>
      <c r="AN1548" s="103"/>
      <c r="AO1548" s="103"/>
      <c r="AP1548" s="103"/>
      <c r="AQ1548" s="103"/>
      <c r="AR1548" s="103"/>
      <c r="AS1548" s="103">
        <v>143</v>
      </c>
      <c r="AT1548" s="103"/>
      <c r="AU1548" s="103"/>
      <c r="AV1548" s="103"/>
      <c r="AW1548" s="104" t="str">
        <f>HYPERLINK("http://www.openstreetmap.org/?mlat=36.1611&amp;mlon=42.0268&amp;zoom=12#map=12/36.1611/42.0268","Maplink1")</f>
        <v>Maplink1</v>
      </c>
      <c r="AX1548" s="104" t="str">
        <f>HYPERLINK("https://www.google.iq/maps/search/+36.1611,42.0268/@36.1611,42.0268,14z?hl=en","Maplink2")</f>
        <v>Maplink2</v>
      </c>
      <c r="AY1548" s="104" t="str">
        <f>HYPERLINK("http://www.bing.com/maps/?lvl=14&amp;sty=h&amp;cp=36.1611~42.0268&amp;sp=point.36.1611_42.0268","Maplink3")</f>
        <v>Maplink3</v>
      </c>
    </row>
    <row r="1549" spans="1:51" x14ac:dyDescent="0.2">
      <c r="A1549" s="102">
        <v>33999</v>
      </c>
      <c r="B1549" s="103" t="s">
        <v>35</v>
      </c>
      <c r="C1549" s="103" t="s">
        <v>103</v>
      </c>
      <c r="D1549" s="103" t="s">
        <v>3071</v>
      </c>
      <c r="E1549" s="103" t="s">
        <v>3072</v>
      </c>
      <c r="F1549" s="103">
        <v>36.453709000000003</v>
      </c>
      <c r="G1549" s="103">
        <v>42.084384999999997</v>
      </c>
      <c r="H1549" s="102">
        <v>130</v>
      </c>
      <c r="I1549" s="102">
        <v>780</v>
      </c>
      <c r="J1549" s="103"/>
      <c r="K1549" s="103"/>
      <c r="L1549" s="103"/>
      <c r="M1549" s="103">
        <v>25</v>
      </c>
      <c r="N1549" s="103">
        <v>85</v>
      </c>
      <c r="O1549" s="103">
        <v>20</v>
      </c>
      <c r="P1549" s="103"/>
      <c r="Q1549" s="103"/>
      <c r="R1549" s="103"/>
      <c r="S1549" s="103"/>
      <c r="T1549" s="103"/>
      <c r="U1549" s="103"/>
      <c r="V1549" s="103"/>
      <c r="W1549" s="103"/>
      <c r="X1549" s="103"/>
      <c r="Y1549" s="103"/>
      <c r="Z1549" s="103"/>
      <c r="AA1549" s="103"/>
      <c r="AB1549" s="103"/>
      <c r="AC1549" s="103"/>
      <c r="AD1549" s="103"/>
      <c r="AE1549" s="103"/>
      <c r="AF1549" s="103"/>
      <c r="AG1549" s="103">
        <v>130</v>
      </c>
      <c r="AH1549" s="103"/>
      <c r="AI1549" s="103"/>
      <c r="AJ1549" s="103"/>
      <c r="AK1549" s="103"/>
      <c r="AL1549" s="103"/>
      <c r="AM1549" s="103"/>
      <c r="AN1549" s="103"/>
      <c r="AO1549" s="103"/>
      <c r="AP1549" s="103">
        <v>130</v>
      </c>
      <c r="AQ1549" s="103"/>
      <c r="AR1549" s="103"/>
      <c r="AS1549" s="103"/>
      <c r="AT1549" s="103"/>
      <c r="AU1549" s="103"/>
      <c r="AV1549" s="103"/>
      <c r="AW1549" s="104" t="str">
        <f>HYPERLINK("http://www.openstreetmap.org/?mlat=36.4537&amp;mlon=42.0844&amp;zoom=12#map=12/36.4537/42.0844","Maplink1")</f>
        <v>Maplink1</v>
      </c>
      <c r="AX1549" s="104" t="str">
        <f>HYPERLINK("https://www.google.iq/maps/search/+36.4537,42.0844/@36.4537,42.0844,14z?hl=en","Maplink2")</f>
        <v>Maplink2</v>
      </c>
      <c r="AY1549" s="104" t="str">
        <f>HYPERLINK("http://www.bing.com/maps/?lvl=14&amp;sty=h&amp;cp=36.4537~42.0844&amp;sp=point.36.4537_42.0844","Maplink3")</f>
        <v>Maplink3</v>
      </c>
    </row>
    <row r="1550" spans="1:51" x14ac:dyDescent="0.2">
      <c r="A1550" s="102">
        <v>34042</v>
      </c>
      <c r="B1550" s="103" t="s">
        <v>35</v>
      </c>
      <c r="C1550" s="103" t="s">
        <v>103</v>
      </c>
      <c r="D1550" s="103" t="s">
        <v>3073</v>
      </c>
      <c r="E1550" s="103" t="s">
        <v>3074</v>
      </c>
      <c r="F1550" s="103">
        <v>36.162863000000002</v>
      </c>
      <c r="G1550" s="103">
        <v>42.021484000000001</v>
      </c>
      <c r="H1550" s="102">
        <v>37</v>
      </c>
      <c r="I1550" s="102">
        <v>222</v>
      </c>
      <c r="J1550" s="103"/>
      <c r="K1550" s="103"/>
      <c r="L1550" s="103"/>
      <c r="M1550" s="103">
        <v>37</v>
      </c>
      <c r="N1550" s="103"/>
      <c r="O1550" s="103"/>
      <c r="P1550" s="103"/>
      <c r="Q1550" s="103"/>
      <c r="R1550" s="103"/>
      <c r="S1550" s="103"/>
      <c r="T1550" s="103"/>
      <c r="U1550" s="103"/>
      <c r="V1550" s="103"/>
      <c r="W1550" s="103"/>
      <c r="X1550" s="103"/>
      <c r="Y1550" s="103"/>
      <c r="Z1550" s="103"/>
      <c r="AA1550" s="103"/>
      <c r="AB1550" s="103"/>
      <c r="AC1550" s="103"/>
      <c r="AD1550" s="103"/>
      <c r="AE1550" s="103"/>
      <c r="AF1550" s="103"/>
      <c r="AG1550" s="103">
        <v>37</v>
      </c>
      <c r="AH1550" s="103"/>
      <c r="AI1550" s="103"/>
      <c r="AJ1550" s="103"/>
      <c r="AK1550" s="103"/>
      <c r="AL1550" s="103"/>
      <c r="AM1550" s="103"/>
      <c r="AN1550" s="103"/>
      <c r="AO1550" s="103"/>
      <c r="AP1550" s="103"/>
      <c r="AQ1550" s="103"/>
      <c r="AR1550" s="103"/>
      <c r="AS1550" s="103">
        <v>37</v>
      </c>
      <c r="AT1550" s="103"/>
      <c r="AU1550" s="103"/>
      <c r="AV1550" s="103"/>
      <c r="AW1550" s="104" t="str">
        <f>HYPERLINK("http://www.openstreetmap.org/?mlat=36.1629&amp;mlon=42.0215&amp;zoom=12#map=12/36.1629/42.0215","Maplink1")</f>
        <v>Maplink1</v>
      </c>
      <c r="AX1550" s="104" t="str">
        <f>HYPERLINK("https://www.google.iq/maps/search/+36.1629,42.0215/@36.1629,42.0215,14z?hl=en","Maplink2")</f>
        <v>Maplink2</v>
      </c>
      <c r="AY1550" s="104" t="str">
        <f>HYPERLINK("http://www.bing.com/maps/?lvl=14&amp;sty=h&amp;cp=36.1629~42.0215&amp;sp=point.36.1629_42.0215","Maplink3")</f>
        <v>Maplink3</v>
      </c>
    </row>
    <row r="1551" spans="1:51" x14ac:dyDescent="0.2">
      <c r="A1551" s="102">
        <v>27361</v>
      </c>
      <c r="B1551" s="103" t="s">
        <v>35</v>
      </c>
      <c r="C1551" s="103" t="s">
        <v>103</v>
      </c>
      <c r="D1551" s="103" t="s">
        <v>3017</v>
      </c>
      <c r="E1551" s="103" t="s">
        <v>3018</v>
      </c>
      <c r="F1551" s="103">
        <v>36.381168959299998</v>
      </c>
      <c r="G1551" s="103">
        <v>41.791937992400001</v>
      </c>
      <c r="H1551" s="102">
        <v>1</v>
      </c>
      <c r="I1551" s="102">
        <v>6</v>
      </c>
      <c r="J1551" s="103"/>
      <c r="K1551" s="103"/>
      <c r="L1551" s="103"/>
      <c r="M1551" s="103">
        <v>1</v>
      </c>
      <c r="N1551" s="103"/>
      <c r="O1551" s="103"/>
      <c r="P1551" s="103"/>
      <c r="Q1551" s="103"/>
      <c r="R1551" s="103"/>
      <c r="S1551" s="103"/>
      <c r="T1551" s="103"/>
      <c r="U1551" s="103"/>
      <c r="V1551" s="103"/>
      <c r="W1551" s="103"/>
      <c r="X1551" s="103"/>
      <c r="Y1551" s="103">
        <v>1</v>
      </c>
      <c r="Z1551" s="103"/>
      <c r="AA1551" s="103"/>
      <c r="AB1551" s="103"/>
      <c r="AC1551" s="103"/>
      <c r="AD1551" s="103"/>
      <c r="AE1551" s="103"/>
      <c r="AF1551" s="103"/>
      <c r="AG1551" s="103"/>
      <c r="AH1551" s="103"/>
      <c r="AI1551" s="103"/>
      <c r="AJ1551" s="103"/>
      <c r="AK1551" s="103"/>
      <c r="AL1551" s="103"/>
      <c r="AM1551" s="103"/>
      <c r="AN1551" s="103"/>
      <c r="AO1551" s="103">
        <v>1</v>
      </c>
      <c r="AP1551" s="103"/>
      <c r="AQ1551" s="103"/>
      <c r="AR1551" s="103"/>
      <c r="AS1551" s="103"/>
      <c r="AT1551" s="103"/>
      <c r="AU1551" s="103"/>
      <c r="AV1551" s="103"/>
      <c r="AW1551" s="104" t="str">
        <f>HYPERLINK("http://www.openstreetmap.org/?mlat=36.3812&amp;mlon=41.7919&amp;zoom=12#map=12/36.3812/41.7919","Maplink1")</f>
        <v>Maplink1</v>
      </c>
      <c r="AX1551" s="104" t="str">
        <f>HYPERLINK("https://www.google.iq/maps/search/+36.3812,41.7919/@36.3812,41.7919,14z?hl=en","Maplink2")</f>
        <v>Maplink2</v>
      </c>
      <c r="AY1551" s="104" t="str">
        <f>HYPERLINK("http://www.bing.com/maps/?lvl=14&amp;sty=h&amp;cp=36.3812~41.7919&amp;sp=point.36.3812_41.7919","Maplink3")</f>
        <v>Maplink3</v>
      </c>
    </row>
    <row r="1552" spans="1:51" x14ac:dyDescent="0.2">
      <c r="A1552" s="102">
        <v>33998</v>
      </c>
      <c r="B1552" s="103" t="s">
        <v>35</v>
      </c>
      <c r="C1552" s="103" t="s">
        <v>103</v>
      </c>
      <c r="D1552" s="103" t="s">
        <v>3019</v>
      </c>
      <c r="E1552" s="103" t="s">
        <v>3020</v>
      </c>
      <c r="F1552" s="103">
        <v>36.154128999999998</v>
      </c>
      <c r="G1552" s="103">
        <v>42.052066000000003</v>
      </c>
      <c r="H1552" s="102">
        <v>137</v>
      </c>
      <c r="I1552" s="102">
        <v>822</v>
      </c>
      <c r="J1552" s="103">
        <v>19</v>
      </c>
      <c r="K1552" s="103"/>
      <c r="L1552" s="103"/>
      <c r="M1552" s="103">
        <v>113</v>
      </c>
      <c r="N1552" s="103">
        <v>5</v>
      </c>
      <c r="O1552" s="103"/>
      <c r="P1552" s="103"/>
      <c r="Q1552" s="103"/>
      <c r="R1552" s="103"/>
      <c r="S1552" s="103"/>
      <c r="T1552" s="103"/>
      <c r="U1552" s="103"/>
      <c r="V1552" s="103"/>
      <c r="W1552" s="103"/>
      <c r="X1552" s="103"/>
      <c r="Y1552" s="103"/>
      <c r="Z1552" s="103"/>
      <c r="AA1552" s="103"/>
      <c r="AB1552" s="103"/>
      <c r="AC1552" s="103"/>
      <c r="AD1552" s="103"/>
      <c r="AE1552" s="103"/>
      <c r="AF1552" s="103"/>
      <c r="AG1552" s="103">
        <v>137</v>
      </c>
      <c r="AH1552" s="103"/>
      <c r="AI1552" s="103"/>
      <c r="AJ1552" s="103"/>
      <c r="AK1552" s="103"/>
      <c r="AL1552" s="103"/>
      <c r="AM1552" s="103"/>
      <c r="AN1552" s="103"/>
      <c r="AO1552" s="103"/>
      <c r="AP1552" s="103"/>
      <c r="AQ1552" s="103"/>
      <c r="AR1552" s="103"/>
      <c r="AS1552" s="103">
        <v>137</v>
      </c>
      <c r="AT1552" s="103"/>
      <c r="AU1552" s="103"/>
      <c r="AV1552" s="103"/>
      <c r="AW1552" s="104" t="str">
        <f>HYPERLINK("http://www.openstreetmap.org/?mlat=36.1541&amp;mlon=42.0521&amp;zoom=12#map=12/36.1541/42.0521","Maplink1")</f>
        <v>Maplink1</v>
      </c>
      <c r="AX1552" s="104" t="str">
        <f>HYPERLINK("https://www.google.iq/maps/search/+36.1541,42.0521/@36.1541,42.0521,14z?hl=en","Maplink2")</f>
        <v>Maplink2</v>
      </c>
      <c r="AY1552" s="104" t="str">
        <f>HYPERLINK("http://www.bing.com/maps/?lvl=14&amp;sty=h&amp;cp=36.1541~42.0521&amp;sp=point.36.1541_42.0521","Maplink3")</f>
        <v>Maplink3</v>
      </c>
    </row>
    <row r="1553" spans="1:51" x14ac:dyDescent="0.2">
      <c r="A1553" s="102">
        <v>34044</v>
      </c>
      <c r="B1553" s="103" t="s">
        <v>35</v>
      </c>
      <c r="C1553" s="103" t="s">
        <v>103</v>
      </c>
      <c r="D1553" s="103" t="s">
        <v>3021</v>
      </c>
      <c r="E1553" s="103" t="s">
        <v>589</v>
      </c>
      <c r="F1553" s="103">
        <v>36.165956999999999</v>
      </c>
      <c r="G1553" s="103">
        <v>42.023569999999999</v>
      </c>
      <c r="H1553" s="102">
        <v>70</v>
      </c>
      <c r="I1553" s="102">
        <v>420</v>
      </c>
      <c r="J1553" s="103">
        <v>8</v>
      </c>
      <c r="K1553" s="103"/>
      <c r="L1553" s="103"/>
      <c r="M1553" s="103">
        <v>62</v>
      </c>
      <c r="N1553" s="103"/>
      <c r="O1553" s="103"/>
      <c r="P1553" s="103"/>
      <c r="Q1553" s="103"/>
      <c r="R1553" s="103"/>
      <c r="S1553" s="103"/>
      <c r="T1553" s="103"/>
      <c r="U1553" s="103"/>
      <c r="V1553" s="103"/>
      <c r="W1553" s="103"/>
      <c r="X1553" s="103"/>
      <c r="Y1553" s="103"/>
      <c r="Z1553" s="103"/>
      <c r="AA1553" s="103"/>
      <c r="AB1553" s="103"/>
      <c r="AC1553" s="103"/>
      <c r="AD1553" s="103"/>
      <c r="AE1553" s="103"/>
      <c r="AF1553" s="103"/>
      <c r="AG1553" s="103">
        <v>70</v>
      </c>
      <c r="AH1553" s="103"/>
      <c r="AI1553" s="103"/>
      <c r="AJ1553" s="103"/>
      <c r="AK1553" s="103"/>
      <c r="AL1553" s="103"/>
      <c r="AM1553" s="103"/>
      <c r="AN1553" s="103"/>
      <c r="AO1553" s="103"/>
      <c r="AP1553" s="103"/>
      <c r="AQ1553" s="103"/>
      <c r="AR1553" s="103"/>
      <c r="AS1553" s="103">
        <v>70</v>
      </c>
      <c r="AT1553" s="103"/>
      <c r="AU1553" s="103"/>
      <c r="AV1553" s="103"/>
      <c r="AW1553" s="104" t="str">
        <f>HYPERLINK("http://www.openstreetmap.org/?mlat=36.166&amp;mlon=42.0236&amp;zoom=12#map=12/36.166/42.0236","Maplink1")</f>
        <v>Maplink1</v>
      </c>
      <c r="AX1553" s="104" t="str">
        <f>HYPERLINK("https://www.google.iq/maps/search/+36.166,42.0236/@36.166,42.0236,14z?hl=en","Maplink2")</f>
        <v>Maplink2</v>
      </c>
      <c r="AY1553" s="104" t="str">
        <f>HYPERLINK("http://www.bing.com/maps/?lvl=14&amp;sty=h&amp;cp=36.166~42.0236&amp;sp=point.36.166_42.0236","Maplink3")</f>
        <v>Maplink3</v>
      </c>
    </row>
    <row r="1554" spans="1:51" x14ac:dyDescent="0.2">
      <c r="A1554" s="102">
        <v>17493</v>
      </c>
      <c r="B1554" s="103" t="s">
        <v>35</v>
      </c>
      <c r="C1554" s="103" t="s">
        <v>103</v>
      </c>
      <c r="D1554" s="103" t="s">
        <v>2963</v>
      </c>
      <c r="E1554" s="103" t="s">
        <v>2964</v>
      </c>
      <c r="F1554" s="103">
        <v>36.581834999999998</v>
      </c>
      <c r="G1554" s="103">
        <v>41.950251039900003</v>
      </c>
      <c r="H1554" s="102">
        <v>62</v>
      </c>
      <c r="I1554" s="102">
        <v>372</v>
      </c>
      <c r="J1554" s="103"/>
      <c r="K1554" s="103"/>
      <c r="L1554" s="103"/>
      <c r="M1554" s="103">
        <v>27</v>
      </c>
      <c r="N1554" s="103">
        <v>35</v>
      </c>
      <c r="O1554" s="103"/>
      <c r="P1554" s="103"/>
      <c r="Q1554" s="103"/>
      <c r="R1554" s="103"/>
      <c r="S1554" s="103"/>
      <c r="T1554" s="103"/>
      <c r="U1554" s="103"/>
      <c r="V1554" s="103"/>
      <c r="W1554" s="103"/>
      <c r="X1554" s="103"/>
      <c r="Y1554" s="103"/>
      <c r="Z1554" s="103"/>
      <c r="AA1554" s="103"/>
      <c r="AB1554" s="103"/>
      <c r="AC1554" s="103"/>
      <c r="AD1554" s="103"/>
      <c r="AE1554" s="103"/>
      <c r="AF1554" s="103"/>
      <c r="AG1554" s="103">
        <v>62</v>
      </c>
      <c r="AH1554" s="103"/>
      <c r="AI1554" s="103"/>
      <c r="AJ1554" s="103"/>
      <c r="AK1554" s="103"/>
      <c r="AL1554" s="103"/>
      <c r="AM1554" s="103"/>
      <c r="AN1554" s="103"/>
      <c r="AO1554" s="103"/>
      <c r="AP1554" s="103"/>
      <c r="AQ1554" s="103">
        <v>62</v>
      </c>
      <c r="AR1554" s="103"/>
      <c r="AS1554" s="103"/>
      <c r="AT1554" s="103"/>
      <c r="AU1554" s="103"/>
      <c r="AV1554" s="103"/>
      <c r="AW1554" s="104" t="str">
        <f>HYPERLINK("http://www.openstreetmap.org/?mlat=36.5818&amp;mlon=41.9503&amp;zoom=12#map=12/36.5818/41.9503","Maplink1")</f>
        <v>Maplink1</v>
      </c>
      <c r="AX1554" s="104" t="str">
        <f>HYPERLINK("https://www.google.iq/maps/search/+36.5818,41.9503/@36.5818,41.9503,14z?hl=en","Maplink2")</f>
        <v>Maplink2</v>
      </c>
      <c r="AY1554" s="104" t="str">
        <f>HYPERLINK("http://www.bing.com/maps/?lvl=14&amp;sty=h&amp;cp=36.5818~41.9503&amp;sp=point.36.5818_41.9503","Maplink3")</f>
        <v>Maplink3</v>
      </c>
    </row>
    <row r="1555" spans="1:51" x14ac:dyDescent="0.2">
      <c r="A1555" s="102">
        <v>33662</v>
      </c>
      <c r="B1555" s="103" t="s">
        <v>35</v>
      </c>
      <c r="C1555" s="103" t="s">
        <v>103</v>
      </c>
      <c r="D1555" s="103" t="s">
        <v>2965</v>
      </c>
      <c r="E1555" s="103" t="s">
        <v>2966</v>
      </c>
      <c r="F1555" s="103">
        <v>36.246442299999998</v>
      </c>
      <c r="G1555" s="103">
        <v>41.915472000000001</v>
      </c>
      <c r="H1555" s="102">
        <v>20</v>
      </c>
      <c r="I1555" s="102">
        <v>120</v>
      </c>
      <c r="J1555" s="103"/>
      <c r="K1555" s="103"/>
      <c r="L1555" s="103"/>
      <c r="M1555" s="103">
        <v>20</v>
      </c>
      <c r="N1555" s="103"/>
      <c r="O1555" s="103"/>
      <c r="P1555" s="103"/>
      <c r="Q1555" s="103"/>
      <c r="R1555" s="103"/>
      <c r="S1555" s="103"/>
      <c r="T1555" s="103"/>
      <c r="U1555" s="103"/>
      <c r="V1555" s="103"/>
      <c r="W1555" s="103"/>
      <c r="X1555" s="103"/>
      <c r="Y1555" s="103">
        <v>20</v>
      </c>
      <c r="Z1555" s="103"/>
      <c r="AA1555" s="103"/>
      <c r="AB1555" s="103"/>
      <c r="AC1555" s="103"/>
      <c r="AD1555" s="103"/>
      <c r="AE1555" s="103"/>
      <c r="AF1555" s="103"/>
      <c r="AG1555" s="103"/>
      <c r="AH1555" s="103"/>
      <c r="AI1555" s="103"/>
      <c r="AJ1555" s="103"/>
      <c r="AK1555" s="103"/>
      <c r="AL1555" s="103"/>
      <c r="AM1555" s="103"/>
      <c r="AN1555" s="103"/>
      <c r="AO1555" s="103">
        <v>20</v>
      </c>
      <c r="AP1555" s="103"/>
      <c r="AQ1555" s="103"/>
      <c r="AR1555" s="103"/>
      <c r="AS1555" s="103"/>
      <c r="AT1555" s="103"/>
      <c r="AU1555" s="103"/>
      <c r="AV1555" s="103"/>
      <c r="AW1555" s="104" t="str">
        <f>HYPERLINK("http://www.openstreetmap.org/?mlat=36.2464&amp;mlon=41.9155&amp;zoom=12#map=12/36.2464/41.9155","Maplink1")</f>
        <v>Maplink1</v>
      </c>
      <c r="AX1555" s="104" t="str">
        <f>HYPERLINK("https://www.google.iq/maps/search/+36.2464,41.9155/@36.2464,41.9155,14z?hl=en","Maplink2")</f>
        <v>Maplink2</v>
      </c>
      <c r="AY1555" s="104" t="str">
        <f>HYPERLINK("http://www.bing.com/maps/?lvl=14&amp;sty=h&amp;cp=36.2464~41.9155&amp;sp=point.36.2464_41.9155","Maplink3")</f>
        <v>Maplink3</v>
      </c>
    </row>
    <row r="1556" spans="1:51" x14ac:dyDescent="0.2">
      <c r="A1556" s="102">
        <v>34038</v>
      </c>
      <c r="B1556" s="103" t="s">
        <v>35</v>
      </c>
      <c r="C1556" s="103" t="s">
        <v>103</v>
      </c>
      <c r="D1556" s="103" t="s">
        <v>2967</v>
      </c>
      <c r="E1556" s="103" t="s">
        <v>2968</v>
      </c>
      <c r="F1556" s="103">
        <v>36.162860000000002</v>
      </c>
      <c r="G1556" s="103">
        <v>42.034429000000003</v>
      </c>
      <c r="H1556" s="102">
        <v>390</v>
      </c>
      <c r="I1556" s="102">
        <v>2340</v>
      </c>
      <c r="J1556" s="103">
        <v>12</v>
      </c>
      <c r="K1556" s="103"/>
      <c r="L1556" s="103"/>
      <c r="M1556" s="103">
        <v>373</v>
      </c>
      <c r="N1556" s="103">
        <v>5</v>
      </c>
      <c r="O1556" s="103"/>
      <c r="P1556" s="103"/>
      <c r="Q1556" s="103"/>
      <c r="R1556" s="103"/>
      <c r="S1556" s="103"/>
      <c r="T1556" s="103"/>
      <c r="U1556" s="103"/>
      <c r="V1556" s="103"/>
      <c r="W1556" s="103">
        <v>2</v>
      </c>
      <c r="X1556" s="103"/>
      <c r="Y1556" s="103"/>
      <c r="Z1556" s="103"/>
      <c r="AA1556" s="103">
        <v>10</v>
      </c>
      <c r="AB1556" s="103"/>
      <c r="AC1556" s="103"/>
      <c r="AD1556" s="103"/>
      <c r="AE1556" s="103"/>
      <c r="AF1556" s="103"/>
      <c r="AG1556" s="103">
        <v>376</v>
      </c>
      <c r="AH1556" s="103"/>
      <c r="AI1556" s="103"/>
      <c r="AJ1556" s="103">
        <v>2</v>
      </c>
      <c r="AK1556" s="103"/>
      <c r="AL1556" s="103"/>
      <c r="AM1556" s="103"/>
      <c r="AN1556" s="103"/>
      <c r="AO1556" s="103"/>
      <c r="AP1556" s="103"/>
      <c r="AQ1556" s="103"/>
      <c r="AR1556" s="103"/>
      <c r="AS1556" s="103">
        <v>390</v>
      </c>
      <c r="AT1556" s="103"/>
      <c r="AU1556" s="103"/>
      <c r="AV1556" s="103"/>
      <c r="AW1556" s="104" t="str">
        <f>HYPERLINK("http://www.openstreetmap.org/?mlat=36.1629&amp;mlon=42.0344&amp;zoom=12#map=12/36.1629/42.0344","Maplink1")</f>
        <v>Maplink1</v>
      </c>
      <c r="AX1556" s="104" t="str">
        <f>HYPERLINK("https://www.google.iq/maps/search/+36.1629,42.0344/@36.1629,42.0344,14z?hl=en","Maplink2")</f>
        <v>Maplink2</v>
      </c>
      <c r="AY1556" s="104" t="str">
        <f>HYPERLINK("http://www.bing.com/maps/?lvl=14&amp;sty=h&amp;cp=36.1629~42.0344&amp;sp=point.36.1629_42.0344","Maplink3")</f>
        <v>Maplink3</v>
      </c>
    </row>
    <row r="1557" spans="1:51" x14ac:dyDescent="0.2">
      <c r="A1557" s="102">
        <v>33518</v>
      </c>
      <c r="B1557" s="103" t="s">
        <v>35</v>
      </c>
      <c r="C1557" s="103" t="s">
        <v>103</v>
      </c>
      <c r="D1557" s="103" t="s">
        <v>3035</v>
      </c>
      <c r="E1557" s="103" t="s">
        <v>2440</v>
      </c>
      <c r="F1557" s="103">
        <v>36.597675000000002</v>
      </c>
      <c r="G1557" s="103">
        <v>41.959870446300002</v>
      </c>
      <c r="H1557" s="102">
        <v>10</v>
      </c>
      <c r="I1557" s="102">
        <v>60</v>
      </c>
      <c r="J1557" s="103"/>
      <c r="K1557" s="103"/>
      <c r="L1557" s="103"/>
      <c r="M1557" s="103">
        <v>7</v>
      </c>
      <c r="N1557" s="103">
        <v>3</v>
      </c>
      <c r="O1557" s="103"/>
      <c r="P1557" s="103"/>
      <c r="Q1557" s="103"/>
      <c r="R1557" s="103"/>
      <c r="S1557" s="103"/>
      <c r="T1557" s="103"/>
      <c r="U1557" s="103"/>
      <c r="V1557" s="103"/>
      <c r="W1557" s="103"/>
      <c r="X1557" s="103"/>
      <c r="Y1557" s="103"/>
      <c r="Z1557" s="103"/>
      <c r="AA1557" s="103"/>
      <c r="AB1557" s="103"/>
      <c r="AC1557" s="103"/>
      <c r="AD1557" s="103"/>
      <c r="AE1557" s="103"/>
      <c r="AF1557" s="103"/>
      <c r="AG1557" s="103">
        <v>10</v>
      </c>
      <c r="AH1557" s="103"/>
      <c r="AI1557" s="103"/>
      <c r="AJ1557" s="103"/>
      <c r="AK1557" s="103"/>
      <c r="AL1557" s="103"/>
      <c r="AM1557" s="103"/>
      <c r="AN1557" s="103"/>
      <c r="AO1557" s="103"/>
      <c r="AP1557" s="103"/>
      <c r="AQ1557" s="103">
        <v>10</v>
      </c>
      <c r="AR1557" s="103"/>
      <c r="AS1557" s="103"/>
      <c r="AT1557" s="103"/>
      <c r="AU1557" s="103"/>
      <c r="AV1557" s="103"/>
      <c r="AW1557" s="104" t="str">
        <f>HYPERLINK("http://www.openstreetmap.org/?mlat=36.5977&amp;mlon=41.9599&amp;zoom=12#map=12/36.5977/41.9599","Maplink1")</f>
        <v>Maplink1</v>
      </c>
      <c r="AX1557" s="104" t="str">
        <f>HYPERLINK("https://www.google.iq/maps/search/+36.5977,41.9599/@36.5977,41.9599,14z?hl=en","Maplink2")</f>
        <v>Maplink2</v>
      </c>
      <c r="AY1557" s="104" t="str">
        <f>HYPERLINK("http://www.bing.com/maps/?lvl=14&amp;sty=h&amp;cp=36.5977~41.9599&amp;sp=point.36.5977_41.9599","Maplink3")</f>
        <v>Maplink3</v>
      </c>
    </row>
    <row r="1558" spans="1:51" x14ac:dyDescent="0.2">
      <c r="A1558" s="102">
        <v>18048</v>
      </c>
      <c r="B1558" s="103" t="s">
        <v>35</v>
      </c>
      <c r="C1558" s="103" t="s">
        <v>103</v>
      </c>
      <c r="D1558" s="103" t="s">
        <v>2969</v>
      </c>
      <c r="E1558" s="103" t="s">
        <v>2970</v>
      </c>
      <c r="F1558" s="103">
        <v>36.505729519299997</v>
      </c>
      <c r="G1558" s="103">
        <v>41.957361991200003</v>
      </c>
      <c r="H1558" s="102">
        <v>650</v>
      </c>
      <c r="I1558" s="102">
        <v>3900</v>
      </c>
      <c r="J1558" s="103"/>
      <c r="K1558" s="103"/>
      <c r="L1558" s="103"/>
      <c r="M1558" s="103">
        <v>602</v>
      </c>
      <c r="N1558" s="103">
        <v>48</v>
      </c>
      <c r="O1558" s="103"/>
      <c r="P1558" s="103"/>
      <c r="Q1558" s="103"/>
      <c r="R1558" s="103"/>
      <c r="S1558" s="103"/>
      <c r="T1558" s="103"/>
      <c r="U1558" s="103"/>
      <c r="V1558" s="103"/>
      <c r="W1558" s="103"/>
      <c r="X1558" s="103"/>
      <c r="Y1558" s="103">
        <v>565</v>
      </c>
      <c r="Z1558" s="103"/>
      <c r="AA1558" s="103"/>
      <c r="AB1558" s="103"/>
      <c r="AC1558" s="103"/>
      <c r="AD1558" s="103"/>
      <c r="AE1558" s="103"/>
      <c r="AF1558" s="103"/>
      <c r="AG1558" s="103">
        <v>85</v>
      </c>
      <c r="AH1558" s="103"/>
      <c r="AI1558" s="103"/>
      <c r="AJ1558" s="103"/>
      <c r="AK1558" s="103"/>
      <c r="AL1558" s="103"/>
      <c r="AM1558" s="103"/>
      <c r="AN1558" s="103"/>
      <c r="AO1558" s="103">
        <v>650</v>
      </c>
      <c r="AP1558" s="103"/>
      <c r="AQ1558" s="103"/>
      <c r="AR1558" s="103"/>
      <c r="AS1558" s="103"/>
      <c r="AT1558" s="103"/>
      <c r="AU1558" s="103"/>
      <c r="AV1558" s="103"/>
      <c r="AW1558" s="104" t="str">
        <f>HYPERLINK("http://www.openstreetmap.org/?mlat=36.5057&amp;mlon=41.9574&amp;zoom=12#map=12/36.5057/41.9574","Maplink1")</f>
        <v>Maplink1</v>
      </c>
      <c r="AX1558" s="104" t="str">
        <f>HYPERLINK("https://www.google.iq/maps/search/+36.5057,41.9574/@36.5057,41.9574,14z?hl=en","Maplink2")</f>
        <v>Maplink2</v>
      </c>
      <c r="AY1558" s="104" t="str">
        <f>HYPERLINK("http://www.bing.com/maps/?lvl=14&amp;sty=h&amp;cp=36.5057~41.9574&amp;sp=point.36.5057_41.9574","Maplink3")</f>
        <v>Maplink3</v>
      </c>
    </row>
    <row r="1559" spans="1:51" x14ac:dyDescent="0.2">
      <c r="A1559" s="102">
        <v>33648</v>
      </c>
      <c r="B1559" s="103" t="s">
        <v>35</v>
      </c>
      <c r="C1559" s="103" t="s">
        <v>103</v>
      </c>
      <c r="D1559" s="103" t="s">
        <v>4009</v>
      </c>
      <c r="E1559" s="103" t="s">
        <v>4010</v>
      </c>
      <c r="F1559" s="103">
        <v>36.3049593</v>
      </c>
      <c r="G1559" s="103">
        <v>41.8941035</v>
      </c>
      <c r="H1559" s="102">
        <v>17</v>
      </c>
      <c r="I1559" s="102">
        <v>102</v>
      </c>
      <c r="J1559" s="103"/>
      <c r="K1559" s="103"/>
      <c r="L1559" s="103"/>
      <c r="M1559" s="103">
        <v>17</v>
      </c>
      <c r="N1559" s="103"/>
      <c r="O1559" s="103"/>
      <c r="P1559" s="103"/>
      <c r="Q1559" s="103"/>
      <c r="R1559" s="103"/>
      <c r="S1559" s="103"/>
      <c r="T1559" s="103"/>
      <c r="U1559" s="103"/>
      <c r="V1559" s="103"/>
      <c r="W1559" s="103"/>
      <c r="X1559" s="103"/>
      <c r="Y1559" s="103">
        <v>17</v>
      </c>
      <c r="Z1559" s="103"/>
      <c r="AA1559" s="103"/>
      <c r="AB1559" s="103"/>
      <c r="AC1559" s="103"/>
      <c r="AD1559" s="103"/>
      <c r="AE1559" s="103"/>
      <c r="AF1559" s="103"/>
      <c r="AG1559" s="103"/>
      <c r="AH1559" s="103"/>
      <c r="AI1559" s="103"/>
      <c r="AJ1559" s="103"/>
      <c r="AK1559" s="103"/>
      <c r="AL1559" s="103"/>
      <c r="AM1559" s="103"/>
      <c r="AN1559" s="103"/>
      <c r="AO1559" s="103">
        <v>17</v>
      </c>
      <c r="AP1559" s="103"/>
      <c r="AQ1559" s="103"/>
      <c r="AR1559" s="103"/>
      <c r="AS1559" s="103"/>
      <c r="AT1559" s="103"/>
      <c r="AU1559" s="103"/>
      <c r="AV1559" s="103"/>
      <c r="AW1559" s="104" t="str">
        <f>HYPERLINK("http://www.openstreetmap.org/?mlat=36.305&amp;mlon=41.8941&amp;zoom=12#map=12/36.305/41.8941","Maplink1")</f>
        <v>Maplink1</v>
      </c>
      <c r="AX1559" s="104" t="str">
        <f>HYPERLINK("https://www.google.iq/maps/search/+36.305,41.8941/@36.305,41.8941,14z?hl=en","Maplink2")</f>
        <v>Maplink2</v>
      </c>
      <c r="AY1559" s="104" t="str">
        <f>HYPERLINK("http://www.bing.com/maps/?lvl=14&amp;sty=h&amp;cp=36.305~41.8941&amp;sp=point.36.305_41.8941","Maplink3")</f>
        <v>Maplink3</v>
      </c>
    </row>
    <row r="1560" spans="1:51" x14ac:dyDescent="0.2">
      <c r="A1560" s="102">
        <v>33872</v>
      </c>
      <c r="B1560" s="103" t="s">
        <v>35</v>
      </c>
      <c r="C1560" s="103" t="s">
        <v>103</v>
      </c>
      <c r="D1560" s="103" t="s">
        <v>2971</v>
      </c>
      <c r="E1560" s="103" t="s">
        <v>2972</v>
      </c>
      <c r="F1560" s="103">
        <v>36.207416000000002</v>
      </c>
      <c r="G1560" s="103">
        <v>42.135829999999999</v>
      </c>
      <c r="H1560" s="102">
        <v>20</v>
      </c>
      <c r="I1560" s="102">
        <v>120</v>
      </c>
      <c r="J1560" s="103"/>
      <c r="K1560" s="103"/>
      <c r="L1560" s="103"/>
      <c r="M1560" s="103">
        <v>20</v>
      </c>
      <c r="N1560" s="103"/>
      <c r="O1560" s="103"/>
      <c r="P1560" s="103"/>
      <c r="Q1560" s="103"/>
      <c r="R1560" s="103"/>
      <c r="S1560" s="103"/>
      <c r="T1560" s="103"/>
      <c r="U1560" s="103"/>
      <c r="V1560" s="103"/>
      <c r="W1560" s="103"/>
      <c r="X1560" s="103"/>
      <c r="Y1560" s="103"/>
      <c r="Z1560" s="103"/>
      <c r="AA1560" s="103"/>
      <c r="AB1560" s="103"/>
      <c r="AC1560" s="103"/>
      <c r="AD1560" s="103"/>
      <c r="AE1560" s="103"/>
      <c r="AF1560" s="103"/>
      <c r="AG1560" s="103">
        <v>20</v>
      </c>
      <c r="AH1560" s="103"/>
      <c r="AI1560" s="103"/>
      <c r="AJ1560" s="103"/>
      <c r="AK1560" s="103"/>
      <c r="AL1560" s="103"/>
      <c r="AM1560" s="103"/>
      <c r="AN1560" s="103"/>
      <c r="AO1560" s="103"/>
      <c r="AP1560" s="103"/>
      <c r="AQ1560" s="103"/>
      <c r="AR1560" s="103"/>
      <c r="AS1560" s="103">
        <v>20</v>
      </c>
      <c r="AT1560" s="103"/>
      <c r="AU1560" s="103"/>
      <c r="AV1560" s="103"/>
      <c r="AW1560" s="104" t="str">
        <f>HYPERLINK("http://www.openstreetmap.org/?mlat=36.2074&amp;mlon=42.1358&amp;zoom=12#map=12/36.2074/42.1358","Maplink1")</f>
        <v>Maplink1</v>
      </c>
      <c r="AX1560" s="104" t="str">
        <f>HYPERLINK("https://www.google.iq/maps/search/+36.2074,42.1358/@36.2074,42.1358,14z?hl=en","Maplink2")</f>
        <v>Maplink2</v>
      </c>
      <c r="AY1560" s="104" t="str">
        <f>HYPERLINK("http://www.bing.com/maps/?lvl=14&amp;sty=h&amp;cp=36.2074~42.1358&amp;sp=point.36.2074_42.1358","Maplink3")</f>
        <v>Maplink3</v>
      </c>
    </row>
    <row r="1561" spans="1:51" x14ac:dyDescent="0.2">
      <c r="A1561" s="102">
        <v>33892</v>
      </c>
      <c r="B1561" s="103" t="s">
        <v>35</v>
      </c>
      <c r="C1561" s="103" t="s">
        <v>103</v>
      </c>
      <c r="D1561" s="103" t="s">
        <v>4011</v>
      </c>
      <c r="E1561" s="103" t="s">
        <v>4012</v>
      </c>
      <c r="F1561" s="103">
        <v>36.303460999999999</v>
      </c>
      <c r="G1561" s="103">
        <v>41.816138000000002</v>
      </c>
      <c r="H1561" s="102">
        <v>14</v>
      </c>
      <c r="I1561" s="102">
        <v>84</v>
      </c>
      <c r="J1561" s="103"/>
      <c r="K1561" s="103"/>
      <c r="L1561" s="103"/>
      <c r="M1561" s="103">
        <v>14</v>
      </c>
      <c r="N1561" s="103"/>
      <c r="O1561" s="103"/>
      <c r="P1561" s="103"/>
      <c r="Q1561" s="103"/>
      <c r="R1561" s="103"/>
      <c r="S1561" s="103"/>
      <c r="T1561" s="103"/>
      <c r="U1561" s="103"/>
      <c r="V1561" s="103"/>
      <c r="W1561" s="103"/>
      <c r="X1561" s="103"/>
      <c r="Y1561" s="103">
        <v>14</v>
      </c>
      <c r="Z1561" s="103"/>
      <c r="AA1561" s="103"/>
      <c r="AB1561" s="103"/>
      <c r="AC1561" s="103"/>
      <c r="AD1561" s="103"/>
      <c r="AE1561" s="103"/>
      <c r="AF1561" s="103"/>
      <c r="AG1561" s="103"/>
      <c r="AH1561" s="103"/>
      <c r="AI1561" s="103"/>
      <c r="AJ1561" s="103"/>
      <c r="AK1561" s="103"/>
      <c r="AL1561" s="103"/>
      <c r="AM1561" s="103"/>
      <c r="AN1561" s="103"/>
      <c r="AO1561" s="103">
        <v>14</v>
      </c>
      <c r="AP1561" s="103"/>
      <c r="AQ1561" s="103"/>
      <c r="AR1561" s="103"/>
      <c r="AS1561" s="103"/>
      <c r="AT1561" s="103"/>
      <c r="AU1561" s="103"/>
      <c r="AV1561" s="103"/>
      <c r="AW1561" s="104" t="str">
        <f>HYPERLINK("http://www.openstreetmap.org/?mlat=36.3035&amp;mlon=41.8161&amp;zoom=12#map=12/36.3035/41.8161","Maplink1")</f>
        <v>Maplink1</v>
      </c>
      <c r="AX1561" s="104" t="str">
        <f>HYPERLINK("https://www.google.iq/maps/search/+36.3035,41.8161/@36.3035,41.8161,14z?hl=en","Maplink2")</f>
        <v>Maplink2</v>
      </c>
      <c r="AY1561" s="104" t="str">
        <f>HYPERLINK("http://www.bing.com/maps/?lvl=14&amp;sty=h&amp;cp=36.3035~41.8161&amp;sp=point.36.3035_41.8161","Maplink3")</f>
        <v>Maplink3</v>
      </c>
    </row>
    <row r="1562" spans="1:51" x14ac:dyDescent="0.2">
      <c r="A1562" s="102">
        <v>27358</v>
      </c>
      <c r="B1562" s="103" t="s">
        <v>35</v>
      </c>
      <c r="C1562" s="103" t="s">
        <v>103</v>
      </c>
      <c r="D1562" s="103" t="s">
        <v>3026</v>
      </c>
      <c r="E1562" s="103" t="s">
        <v>3027</v>
      </c>
      <c r="F1562" s="103">
        <v>36.371528912400002</v>
      </c>
      <c r="G1562" s="103">
        <v>41.725110782400002</v>
      </c>
      <c r="H1562" s="102">
        <v>81</v>
      </c>
      <c r="I1562" s="102">
        <v>486</v>
      </c>
      <c r="J1562" s="103"/>
      <c r="K1562" s="103"/>
      <c r="L1562" s="103"/>
      <c r="M1562" s="103">
        <v>81</v>
      </c>
      <c r="N1562" s="103"/>
      <c r="O1562" s="103"/>
      <c r="P1562" s="103"/>
      <c r="Q1562" s="103"/>
      <c r="R1562" s="103"/>
      <c r="S1562" s="103"/>
      <c r="T1562" s="103"/>
      <c r="U1562" s="103"/>
      <c r="V1562" s="103"/>
      <c r="W1562" s="103"/>
      <c r="X1562" s="103"/>
      <c r="Y1562" s="103">
        <v>81</v>
      </c>
      <c r="Z1562" s="103"/>
      <c r="AA1562" s="103"/>
      <c r="AB1562" s="103"/>
      <c r="AC1562" s="103"/>
      <c r="AD1562" s="103"/>
      <c r="AE1562" s="103"/>
      <c r="AF1562" s="103"/>
      <c r="AG1562" s="103"/>
      <c r="AH1562" s="103"/>
      <c r="AI1562" s="103"/>
      <c r="AJ1562" s="103"/>
      <c r="AK1562" s="103"/>
      <c r="AL1562" s="103"/>
      <c r="AM1562" s="103"/>
      <c r="AN1562" s="103"/>
      <c r="AO1562" s="103">
        <v>81</v>
      </c>
      <c r="AP1562" s="103"/>
      <c r="AQ1562" s="103"/>
      <c r="AR1562" s="103"/>
      <c r="AS1562" s="103"/>
      <c r="AT1562" s="103"/>
      <c r="AU1562" s="103"/>
      <c r="AV1562" s="103"/>
      <c r="AW1562" s="104" t="str">
        <f>HYPERLINK("http://www.openstreetmap.org/?mlat=36.3715&amp;mlon=41.7251&amp;zoom=12#map=12/36.3715/41.7251","Maplink1")</f>
        <v>Maplink1</v>
      </c>
      <c r="AX1562" s="104" t="str">
        <f>HYPERLINK("https://www.google.iq/maps/search/+36.3715,41.7251/@36.3715,41.7251,14z?hl=en","Maplink2")</f>
        <v>Maplink2</v>
      </c>
      <c r="AY1562" s="104" t="str">
        <f>HYPERLINK("http://www.bing.com/maps/?lvl=14&amp;sty=h&amp;cp=36.3715~41.7251&amp;sp=point.36.3715_41.7251","Maplink3")</f>
        <v>Maplink3</v>
      </c>
    </row>
    <row r="1563" spans="1:51" x14ac:dyDescent="0.2">
      <c r="A1563" s="102">
        <v>31742</v>
      </c>
      <c r="B1563" s="103" t="s">
        <v>35</v>
      </c>
      <c r="C1563" s="103" t="s">
        <v>103</v>
      </c>
      <c r="D1563" s="103" t="s">
        <v>3028</v>
      </c>
      <c r="E1563" s="103" t="s">
        <v>3029</v>
      </c>
      <c r="F1563" s="103">
        <v>36.331506699999998</v>
      </c>
      <c r="G1563" s="103">
        <v>41.907876799999997</v>
      </c>
      <c r="H1563" s="102">
        <v>153</v>
      </c>
      <c r="I1563" s="102">
        <v>918</v>
      </c>
      <c r="J1563" s="103"/>
      <c r="K1563" s="103"/>
      <c r="L1563" s="103"/>
      <c r="M1563" s="103">
        <v>90</v>
      </c>
      <c r="N1563" s="103">
        <v>12</v>
      </c>
      <c r="O1563" s="103"/>
      <c r="P1563" s="103">
        <v>51</v>
      </c>
      <c r="Q1563" s="103"/>
      <c r="R1563" s="103"/>
      <c r="S1563" s="103"/>
      <c r="T1563" s="103"/>
      <c r="U1563" s="103"/>
      <c r="V1563" s="103"/>
      <c r="W1563" s="103"/>
      <c r="X1563" s="103"/>
      <c r="Y1563" s="103">
        <v>100</v>
      </c>
      <c r="Z1563" s="103"/>
      <c r="AA1563" s="103"/>
      <c r="AB1563" s="103"/>
      <c r="AC1563" s="103"/>
      <c r="AD1563" s="103"/>
      <c r="AE1563" s="103"/>
      <c r="AF1563" s="103"/>
      <c r="AG1563" s="103">
        <v>53</v>
      </c>
      <c r="AH1563" s="103"/>
      <c r="AI1563" s="103"/>
      <c r="AJ1563" s="103"/>
      <c r="AK1563" s="103"/>
      <c r="AL1563" s="103"/>
      <c r="AM1563" s="103"/>
      <c r="AN1563" s="103"/>
      <c r="AO1563" s="103">
        <v>153</v>
      </c>
      <c r="AP1563" s="103"/>
      <c r="AQ1563" s="103"/>
      <c r="AR1563" s="103"/>
      <c r="AS1563" s="103"/>
      <c r="AT1563" s="103"/>
      <c r="AU1563" s="103"/>
      <c r="AV1563" s="103"/>
      <c r="AW1563" s="104" t="str">
        <f>HYPERLINK("http://www.openstreetmap.org/?mlat=36.3315&amp;mlon=41.9079&amp;zoom=12#map=12/36.3315/41.9079","Maplink1")</f>
        <v>Maplink1</v>
      </c>
      <c r="AX1563" s="104" t="str">
        <f>HYPERLINK("https://www.google.iq/maps/search/+36.3315,41.9079/@36.3315,41.9079,14z?hl=en","Maplink2")</f>
        <v>Maplink2</v>
      </c>
      <c r="AY1563" s="104" t="str">
        <f>HYPERLINK("http://www.bing.com/maps/?lvl=14&amp;sty=h&amp;cp=36.3315~41.9079&amp;sp=point.36.3315_41.9079","Maplink3")</f>
        <v>Maplink3</v>
      </c>
    </row>
    <row r="1564" spans="1:51" x14ac:dyDescent="0.2">
      <c r="A1564" s="102">
        <v>27366</v>
      </c>
      <c r="B1564" s="103" t="s">
        <v>35</v>
      </c>
      <c r="C1564" s="103" t="s">
        <v>103</v>
      </c>
      <c r="D1564" s="103" t="s">
        <v>2953</v>
      </c>
      <c r="E1564" s="103" t="s">
        <v>2954</v>
      </c>
      <c r="F1564" s="103">
        <v>36.428698603699999</v>
      </c>
      <c r="G1564" s="103">
        <v>41.698919140199997</v>
      </c>
      <c r="H1564" s="102">
        <v>107</v>
      </c>
      <c r="I1564" s="102">
        <v>642</v>
      </c>
      <c r="J1564" s="103"/>
      <c r="K1564" s="103"/>
      <c r="L1564" s="103"/>
      <c r="M1564" s="103">
        <v>100</v>
      </c>
      <c r="N1564" s="103">
        <v>7</v>
      </c>
      <c r="O1564" s="103"/>
      <c r="P1564" s="103"/>
      <c r="Q1564" s="103"/>
      <c r="R1564" s="103"/>
      <c r="S1564" s="103"/>
      <c r="T1564" s="103"/>
      <c r="U1564" s="103"/>
      <c r="V1564" s="103"/>
      <c r="W1564" s="103"/>
      <c r="X1564" s="103"/>
      <c r="Y1564" s="103">
        <v>107</v>
      </c>
      <c r="Z1564" s="103"/>
      <c r="AA1564" s="103"/>
      <c r="AB1564" s="103"/>
      <c r="AC1564" s="103"/>
      <c r="AD1564" s="103"/>
      <c r="AE1564" s="103"/>
      <c r="AF1564" s="103"/>
      <c r="AG1564" s="103"/>
      <c r="AH1564" s="103"/>
      <c r="AI1564" s="103"/>
      <c r="AJ1564" s="103"/>
      <c r="AK1564" s="103"/>
      <c r="AL1564" s="103"/>
      <c r="AM1564" s="103"/>
      <c r="AN1564" s="103"/>
      <c r="AO1564" s="103">
        <v>107</v>
      </c>
      <c r="AP1564" s="103"/>
      <c r="AQ1564" s="103"/>
      <c r="AR1564" s="103"/>
      <c r="AS1564" s="103"/>
      <c r="AT1564" s="103"/>
      <c r="AU1564" s="103"/>
      <c r="AV1564" s="103"/>
      <c r="AW1564" s="104" t="str">
        <f>HYPERLINK("http://www.openstreetmap.org/?mlat=36.4287&amp;mlon=41.6989&amp;zoom=12#map=12/36.4287/41.6989","Maplink1")</f>
        <v>Maplink1</v>
      </c>
      <c r="AX1564" s="104" t="str">
        <f>HYPERLINK("https://www.google.iq/maps/search/+36.4287,41.6989/@36.4287,41.6989,14z?hl=en","Maplink2")</f>
        <v>Maplink2</v>
      </c>
      <c r="AY1564" s="104" t="str">
        <f>HYPERLINK("http://www.bing.com/maps/?lvl=14&amp;sty=h&amp;cp=36.4287~41.6989&amp;sp=point.36.4287_41.6989","Maplink3")</f>
        <v>Maplink3</v>
      </c>
    </row>
    <row r="1565" spans="1:51" x14ac:dyDescent="0.2">
      <c r="A1565" s="102">
        <v>33119</v>
      </c>
      <c r="B1565" s="103" t="s">
        <v>35</v>
      </c>
      <c r="C1565" s="103" t="s">
        <v>103</v>
      </c>
      <c r="D1565" s="103" t="s">
        <v>2955</v>
      </c>
      <c r="E1565" s="103" t="s">
        <v>2956</v>
      </c>
      <c r="F1565" s="103">
        <v>36.470509999999997</v>
      </c>
      <c r="G1565" s="103">
        <v>42.104056997800001</v>
      </c>
      <c r="H1565" s="102">
        <v>100</v>
      </c>
      <c r="I1565" s="102">
        <v>600</v>
      </c>
      <c r="J1565" s="103"/>
      <c r="K1565" s="103"/>
      <c r="L1565" s="103"/>
      <c r="M1565" s="103">
        <v>90</v>
      </c>
      <c r="N1565" s="103">
        <v>10</v>
      </c>
      <c r="O1565" s="103"/>
      <c r="P1565" s="103"/>
      <c r="Q1565" s="103"/>
      <c r="R1565" s="103"/>
      <c r="S1565" s="103"/>
      <c r="T1565" s="103"/>
      <c r="U1565" s="103"/>
      <c r="V1565" s="103"/>
      <c r="W1565" s="103"/>
      <c r="X1565" s="103"/>
      <c r="Y1565" s="103">
        <v>75</v>
      </c>
      <c r="Z1565" s="103"/>
      <c r="AA1565" s="103"/>
      <c r="AB1565" s="103"/>
      <c r="AC1565" s="103"/>
      <c r="AD1565" s="103"/>
      <c r="AE1565" s="103"/>
      <c r="AF1565" s="103"/>
      <c r="AG1565" s="103">
        <v>25</v>
      </c>
      <c r="AH1565" s="103"/>
      <c r="AI1565" s="103"/>
      <c r="AJ1565" s="103"/>
      <c r="AK1565" s="103"/>
      <c r="AL1565" s="103"/>
      <c r="AM1565" s="103"/>
      <c r="AN1565" s="103"/>
      <c r="AO1565" s="103">
        <v>100</v>
      </c>
      <c r="AP1565" s="103"/>
      <c r="AQ1565" s="103"/>
      <c r="AR1565" s="103"/>
      <c r="AS1565" s="103"/>
      <c r="AT1565" s="103"/>
      <c r="AU1565" s="103"/>
      <c r="AV1565" s="103"/>
      <c r="AW1565" s="104" t="str">
        <f>HYPERLINK("http://www.openstreetmap.org/?mlat=36.4705&amp;mlon=42.1041&amp;zoom=12#map=12/36.4705/42.1041","Maplink1")</f>
        <v>Maplink1</v>
      </c>
      <c r="AX1565" s="104" t="str">
        <f>HYPERLINK("https://www.google.iq/maps/search/+36.4705,42.1041/@36.4705,42.1041,14z?hl=en","Maplink2")</f>
        <v>Maplink2</v>
      </c>
      <c r="AY1565" s="104" t="str">
        <f>HYPERLINK("http://www.bing.com/maps/?lvl=14&amp;sty=h&amp;cp=36.4705~42.1041&amp;sp=point.36.4705_42.1041","Maplink3")</f>
        <v>Maplink3</v>
      </c>
    </row>
    <row r="1566" spans="1:51" x14ac:dyDescent="0.2">
      <c r="A1566" s="102">
        <v>33651</v>
      </c>
      <c r="B1566" s="103" t="s">
        <v>35</v>
      </c>
      <c r="C1566" s="103" t="s">
        <v>103</v>
      </c>
      <c r="D1566" s="103" t="s">
        <v>2957</v>
      </c>
      <c r="E1566" s="103" t="s">
        <v>2958</v>
      </c>
      <c r="F1566" s="103">
        <v>36.3069755</v>
      </c>
      <c r="G1566" s="103">
        <v>41.879701799999999</v>
      </c>
      <c r="H1566" s="102">
        <v>43</v>
      </c>
      <c r="I1566" s="102">
        <v>258</v>
      </c>
      <c r="J1566" s="103"/>
      <c r="K1566" s="103"/>
      <c r="L1566" s="103"/>
      <c r="M1566" s="103">
        <v>43</v>
      </c>
      <c r="N1566" s="103"/>
      <c r="O1566" s="103"/>
      <c r="P1566" s="103"/>
      <c r="Q1566" s="103"/>
      <c r="R1566" s="103"/>
      <c r="S1566" s="103"/>
      <c r="T1566" s="103"/>
      <c r="U1566" s="103"/>
      <c r="V1566" s="103"/>
      <c r="W1566" s="103"/>
      <c r="X1566" s="103"/>
      <c r="Y1566" s="103">
        <v>23</v>
      </c>
      <c r="Z1566" s="103"/>
      <c r="AA1566" s="103"/>
      <c r="AB1566" s="103"/>
      <c r="AC1566" s="103"/>
      <c r="AD1566" s="103"/>
      <c r="AE1566" s="103"/>
      <c r="AF1566" s="103"/>
      <c r="AG1566" s="103">
        <v>20</v>
      </c>
      <c r="AH1566" s="103"/>
      <c r="AI1566" s="103"/>
      <c r="AJ1566" s="103"/>
      <c r="AK1566" s="103"/>
      <c r="AL1566" s="103"/>
      <c r="AM1566" s="103"/>
      <c r="AN1566" s="103"/>
      <c r="AO1566" s="103">
        <v>43</v>
      </c>
      <c r="AP1566" s="103"/>
      <c r="AQ1566" s="103"/>
      <c r="AR1566" s="103"/>
      <c r="AS1566" s="103"/>
      <c r="AT1566" s="103"/>
      <c r="AU1566" s="103"/>
      <c r="AV1566" s="103"/>
      <c r="AW1566" s="104" t="str">
        <f>HYPERLINK("http://www.openstreetmap.org/?mlat=36.307&amp;mlon=41.8797&amp;zoom=12#map=12/36.307/41.8797","Maplink1")</f>
        <v>Maplink1</v>
      </c>
      <c r="AX1566" s="104" t="str">
        <f>HYPERLINK("https://www.google.iq/maps/search/+36.307,41.8797/@36.307,41.8797,14z?hl=en","Maplink2")</f>
        <v>Maplink2</v>
      </c>
      <c r="AY1566" s="104" t="str">
        <f>HYPERLINK("http://www.bing.com/maps/?lvl=14&amp;sty=h&amp;cp=36.307~41.8797&amp;sp=point.36.307_41.8797","Maplink3")</f>
        <v>Maplink3</v>
      </c>
    </row>
    <row r="1567" spans="1:51" x14ac:dyDescent="0.2">
      <c r="A1567" s="102">
        <v>27364</v>
      </c>
      <c r="B1567" s="103" t="s">
        <v>35</v>
      </c>
      <c r="C1567" s="103" t="s">
        <v>103</v>
      </c>
      <c r="D1567" s="103" t="s">
        <v>3031</v>
      </c>
      <c r="E1567" s="103" t="s">
        <v>3032</v>
      </c>
      <c r="F1567" s="103">
        <v>36.372352709399998</v>
      </c>
      <c r="G1567" s="103">
        <v>41.7071758473</v>
      </c>
      <c r="H1567" s="102">
        <v>30</v>
      </c>
      <c r="I1567" s="102">
        <v>180</v>
      </c>
      <c r="J1567" s="103"/>
      <c r="K1567" s="103"/>
      <c r="L1567" s="103"/>
      <c r="M1567" s="103">
        <v>30</v>
      </c>
      <c r="N1567" s="103"/>
      <c r="O1567" s="103"/>
      <c r="P1567" s="103"/>
      <c r="Q1567" s="103"/>
      <c r="R1567" s="103"/>
      <c r="S1567" s="103"/>
      <c r="T1567" s="103"/>
      <c r="U1567" s="103"/>
      <c r="V1567" s="103"/>
      <c r="W1567" s="103"/>
      <c r="X1567" s="103"/>
      <c r="Y1567" s="103">
        <v>30</v>
      </c>
      <c r="Z1567" s="103"/>
      <c r="AA1567" s="103"/>
      <c r="AB1567" s="103"/>
      <c r="AC1567" s="103"/>
      <c r="AD1567" s="103"/>
      <c r="AE1567" s="103"/>
      <c r="AF1567" s="103"/>
      <c r="AG1567" s="103"/>
      <c r="AH1567" s="103"/>
      <c r="AI1567" s="103"/>
      <c r="AJ1567" s="103"/>
      <c r="AK1567" s="103"/>
      <c r="AL1567" s="103"/>
      <c r="AM1567" s="103"/>
      <c r="AN1567" s="103"/>
      <c r="AO1567" s="103">
        <v>30</v>
      </c>
      <c r="AP1567" s="103"/>
      <c r="AQ1567" s="103"/>
      <c r="AR1567" s="103"/>
      <c r="AS1567" s="103"/>
      <c r="AT1567" s="103"/>
      <c r="AU1567" s="103"/>
      <c r="AV1567" s="103"/>
      <c r="AW1567" s="104" t="str">
        <f>HYPERLINK("http://www.openstreetmap.org/?mlat=36.3724&amp;mlon=41.7072&amp;zoom=12#map=12/36.3724/41.7072","Maplink1")</f>
        <v>Maplink1</v>
      </c>
      <c r="AX1567" s="104" t="str">
        <f>HYPERLINK("https://www.google.iq/maps/search/+36.3724,41.7072/@36.3724,41.7072,14z?hl=en","Maplink2")</f>
        <v>Maplink2</v>
      </c>
      <c r="AY1567" s="104" t="str">
        <f>HYPERLINK("http://www.bing.com/maps/?lvl=14&amp;sty=h&amp;cp=36.3724~41.7072&amp;sp=point.36.3724_41.7072","Maplink3")</f>
        <v>Maplink3</v>
      </c>
    </row>
    <row r="1568" spans="1:51" x14ac:dyDescent="0.2">
      <c r="A1568" s="102">
        <v>28417</v>
      </c>
      <c r="B1568" s="103" t="s">
        <v>35</v>
      </c>
      <c r="C1568" s="103" t="s">
        <v>103</v>
      </c>
      <c r="D1568" s="103" t="s">
        <v>3033</v>
      </c>
      <c r="E1568" s="103" t="s">
        <v>3034</v>
      </c>
      <c r="F1568" s="103">
        <v>36.420558440000001</v>
      </c>
      <c r="G1568" s="103">
        <v>42.071070769499997</v>
      </c>
      <c r="H1568" s="102">
        <v>16</v>
      </c>
      <c r="I1568" s="102">
        <v>96</v>
      </c>
      <c r="J1568" s="103"/>
      <c r="K1568" s="103"/>
      <c r="L1568" s="103"/>
      <c r="M1568" s="103">
        <v>16</v>
      </c>
      <c r="N1568" s="103"/>
      <c r="O1568" s="103"/>
      <c r="P1568" s="103"/>
      <c r="Q1568" s="103"/>
      <c r="R1568" s="103"/>
      <c r="S1568" s="103"/>
      <c r="T1568" s="103"/>
      <c r="U1568" s="103"/>
      <c r="V1568" s="103"/>
      <c r="W1568" s="103"/>
      <c r="X1568" s="103"/>
      <c r="Y1568" s="103">
        <v>16</v>
      </c>
      <c r="Z1568" s="103"/>
      <c r="AA1568" s="103"/>
      <c r="AB1568" s="103"/>
      <c r="AC1568" s="103"/>
      <c r="AD1568" s="103"/>
      <c r="AE1568" s="103"/>
      <c r="AF1568" s="103"/>
      <c r="AG1568" s="103"/>
      <c r="AH1568" s="103"/>
      <c r="AI1568" s="103"/>
      <c r="AJ1568" s="103"/>
      <c r="AK1568" s="103"/>
      <c r="AL1568" s="103"/>
      <c r="AM1568" s="103"/>
      <c r="AN1568" s="103"/>
      <c r="AO1568" s="103">
        <v>16</v>
      </c>
      <c r="AP1568" s="103"/>
      <c r="AQ1568" s="103"/>
      <c r="AR1568" s="103"/>
      <c r="AS1568" s="103"/>
      <c r="AT1568" s="103"/>
      <c r="AU1568" s="103"/>
      <c r="AV1568" s="103"/>
      <c r="AW1568" s="104" t="str">
        <f>HYPERLINK("http://www.openstreetmap.org/?mlat=36.4206&amp;mlon=42.0711&amp;zoom=12#map=12/36.4206/42.0711","Maplink1")</f>
        <v>Maplink1</v>
      </c>
      <c r="AX1568" s="104" t="str">
        <f>HYPERLINK("https://www.google.iq/maps/search/+36.4206,42.0711/@36.4206,42.0711,14z?hl=en","Maplink2")</f>
        <v>Maplink2</v>
      </c>
      <c r="AY1568" s="104" t="str">
        <f>HYPERLINK("http://www.bing.com/maps/?lvl=14&amp;sty=h&amp;cp=36.4206~42.0711&amp;sp=point.36.4206_42.0711","Maplink3")</f>
        <v>Maplink3</v>
      </c>
    </row>
    <row r="1569" spans="1:51" x14ac:dyDescent="0.2">
      <c r="A1569" s="102">
        <v>28418</v>
      </c>
      <c r="B1569" s="103" t="s">
        <v>35</v>
      </c>
      <c r="C1569" s="103" t="s">
        <v>103</v>
      </c>
      <c r="D1569" s="103" t="s">
        <v>2994</v>
      </c>
      <c r="E1569" s="103" t="s">
        <v>2995</v>
      </c>
      <c r="F1569" s="103">
        <v>36.375829244999998</v>
      </c>
      <c r="G1569" s="103">
        <v>41.763158518399997</v>
      </c>
      <c r="H1569" s="102">
        <v>5</v>
      </c>
      <c r="I1569" s="102">
        <v>30</v>
      </c>
      <c r="J1569" s="103"/>
      <c r="K1569" s="103"/>
      <c r="L1569" s="103"/>
      <c r="M1569" s="103">
        <v>5</v>
      </c>
      <c r="N1569" s="103"/>
      <c r="O1569" s="103"/>
      <c r="P1569" s="103"/>
      <c r="Q1569" s="103"/>
      <c r="R1569" s="103"/>
      <c r="S1569" s="103"/>
      <c r="T1569" s="103"/>
      <c r="U1569" s="103"/>
      <c r="V1569" s="103"/>
      <c r="W1569" s="103"/>
      <c r="X1569" s="103"/>
      <c r="Y1569" s="103">
        <v>5</v>
      </c>
      <c r="Z1569" s="103"/>
      <c r="AA1569" s="103"/>
      <c r="AB1569" s="103"/>
      <c r="AC1569" s="103"/>
      <c r="AD1569" s="103"/>
      <c r="AE1569" s="103"/>
      <c r="AF1569" s="103"/>
      <c r="AG1569" s="103"/>
      <c r="AH1569" s="103"/>
      <c r="AI1569" s="103"/>
      <c r="AJ1569" s="103"/>
      <c r="AK1569" s="103"/>
      <c r="AL1569" s="103"/>
      <c r="AM1569" s="103"/>
      <c r="AN1569" s="103"/>
      <c r="AO1569" s="103">
        <v>5</v>
      </c>
      <c r="AP1569" s="103"/>
      <c r="AQ1569" s="103"/>
      <c r="AR1569" s="103"/>
      <c r="AS1569" s="103"/>
      <c r="AT1569" s="103"/>
      <c r="AU1569" s="103"/>
      <c r="AV1569" s="103"/>
      <c r="AW1569" s="104" t="str">
        <f>HYPERLINK("http://www.openstreetmap.org/?mlat=36.3758&amp;mlon=41.7632&amp;zoom=12#map=12/36.3758/41.7632","Maplink1")</f>
        <v>Maplink1</v>
      </c>
      <c r="AX1569" s="104" t="str">
        <f>HYPERLINK("https://www.google.iq/maps/search/+36.3758,41.7632/@36.3758,41.7632,14z?hl=en","Maplink2")</f>
        <v>Maplink2</v>
      </c>
      <c r="AY1569" s="104" t="str">
        <f>HYPERLINK("http://www.bing.com/maps/?lvl=14&amp;sty=h&amp;cp=36.3758~41.7632&amp;sp=point.36.3758_41.7632","Maplink3")</f>
        <v>Maplink3</v>
      </c>
    </row>
    <row r="1570" spans="1:51" x14ac:dyDescent="0.2">
      <c r="A1570" s="102">
        <v>22484</v>
      </c>
      <c r="B1570" s="103" t="s">
        <v>35</v>
      </c>
      <c r="C1570" s="103" t="s">
        <v>103</v>
      </c>
      <c r="D1570" s="103" t="s">
        <v>2996</v>
      </c>
      <c r="E1570" s="103" t="s">
        <v>2997</v>
      </c>
      <c r="F1570" s="103">
        <v>36.320771654399998</v>
      </c>
      <c r="G1570" s="103">
        <v>41.852918685699997</v>
      </c>
      <c r="H1570" s="102">
        <v>75</v>
      </c>
      <c r="I1570" s="102">
        <v>450</v>
      </c>
      <c r="J1570" s="103">
        <v>22</v>
      </c>
      <c r="K1570" s="103"/>
      <c r="L1570" s="103"/>
      <c r="M1570" s="103">
        <v>45</v>
      </c>
      <c r="N1570" s="103">
        <v>8</v>
      </c>
      <c r="O1570" s="103"/>
      <c r="P1570" s="103"/>
      <c r="Q1570" s="103"/>
      <c r="R1570" s="103"/>
      <c r="S1570" s="103"/>
      <c r="T1570" s="103"/>
      <c r="U1570" s="103"/>
      <c r="V1570" s="103"/>
      <c r="W1570" s="103"/>
      <c r="X1570" s="103"/>
      <c r="Y1570" s="103">
        <v>64</v>
      </c>
      <c r="Z1570" s="103"/>
      <c r="AA1570" s="103"/>
      <c r="AB1570" s="103"/>
      <c r="AC1570" s="103"/>
      <c r="AD1570" s="103"/>
      <c r="AE1570" s="103"/>
      <c r="AF1570" s="103"/>
      <c r="AG1570" s="103">
        <v>11</v>
      </c>
      <c r="AH1570" s="103"/>
      <c r="AI1570" s="103"/>
      <c r="AJ1570" s="103"/>
      <c r="AK1570" s="103"/>
      <c r="AL1570" s="103"/>
      <c r="AM1570" s="103"/>
      <c r="AN1570" s="103"/>
      <c r="AO1570" s="103">
        <v>75</v>
      </c>
      <c r="AP1570" s="103"/>
      <c r="AQ1570" s="103"/>
      <c r="AR1570" s="103"/>
      <c r="AS1570" s="103"/>
      <c r="AT1570" s="103"/>
      <c r="AU1570" s="103"/>
      <c r="AV1570" s="103"/>
      <c r="AW1570" s="104" t="str">
        <f>HYPERLINK("http://www.openstreetmap.org/?mlat=36.3208&amp;mlon=41.8529&amp;zoom=12#map=12/36.3208/41.8529","Maplink1")</f>
        <v>Maplink1</v>
      </c>
      <c r="AX1570" s="104" t="str">
        <f>HYPERLINK("https://www.google.iq/maps/search/+36.3208,41.8529/@36.3208,41.8529,14z?hl=en","Maplink2")</f>
        <v>Maplink2</v>
      </c>
      <c r="AY1570" s="104" t="str">
        <f>HYPERLINK("http://www.bing.com/maps/?lvl=14&amp;sty=h&amp;cp=36.3208~41.8529&amp;sp=point.36.3208_41.8529","Maplink3")</f>
        <v>Maplink3</v>
      </c>
    </row>
    <row r="1571" spans="1:51" x14ac:dyDescent="0.2">
      <c r="A1571" s="102">
        <v>29603</v>
      </c>
      <c r="B1571" s="103" t="s">
        <v>35</v>
      </c>
      <c r="C1571" s="103" t="s">
        <v>103</v>
      </c>
      <c r="D1571" s="103" t="s">
        <v>3058</v>
      </c>
      <c r="E1571" s="103" t="s">
        <v>3059</v>
      </c>
      <c r="F1571" s="103">
        <v>36.337772883500001</v>
      </c>
      <c r="G1571" s="103">
        <v>41.853542601000001</v>
      </c>
      <c r="H1571" s="102">
        <v>75</v>
      </c>
      <c r="I1571" s="102">
        <v>450</v>
      </c>
      <c r="J1571" s="103">
        <v>20</v>
      </c>
      <c r="K1571" s="103"/>
      <c r="L1571" s="103"/>
      <c r="M1571" s="103">
        <v>50</v>
      </c>
      <c r="N1571" s="103">
        <v>5</v>
      </c>
      <c r="O1571" s="103"/>
      <c r="P1571" s="103"/>
      <c r="Q1571" s="103"/>
      <c r="R1571" s="103"/>
      <c r="S1571" s="103"/>
      <c r="T1571" s="103"/>
      <c r="U1571" s="103"/>
      <c r="V1571" s="103"/>
      <c r="W1571" s="103"/>
      <c r="X1571" s="103"/>
      <c r="Y1571" s="103">
        <v>75</v>
      </c>
      <c r="Z1571" s="103"/>
      <c r="AA1571" s="103"/>
      <c r="AB1571" s="103"/>
      <c r="AC1571" s="103"/>
      <c r="AD1571" s="103"/>
      <c r="AE1571" s="103"/>
      <c r="AF1571" s="103"/>
      <c r="AG1571" s="103"/>
      <c r="AH1571" s="103"/>
      <c r="AI1571" s="103"/>
      <c r="AJ1571" s="103"/>
      <c r="AK1571" s="103"/>
      <c r="AL1571" s="103"/>
      <c r="AM1571" s="103"/>
      <c r="AN1571" s="103"/>
      <c r="AO1571" s="103">
        <v>75</v>
      </c>
      <c r="AP1571" s="103"/>
      <c r="AQ1571" s="103"/>
      <c r="AR1571" s="103"/>
      <c r="AS1571" s="103"/>
      <c r="AT1571" s="103"/>
      <c r="AU1571" s="103"/>
      <c r="AV1571" s="103"/>
      <c r="AW1571" s="104" t="str">
        <f>HYPERLINK("http://www.openstreetmap.org/?mlat=36.3378&amp;mlon=41.8535&amp;zoom=12#map=12/36.3378/41.8535","Maplink1")</f>
        <v>Maplink1</v>
      </c>
      <c r="AX1571" s="104" t="str">
        <f>HYPERLINK("https://www.google.iq/maps/search/+36.3378,41.8535/@36.3378,41.8535,14z?hl=en","Maplink2")</f>
        <v>Maplink2</v>
      </c>
      <c r="AY1571" s="104" t="str">
        <f>HYPERLINK("http://www.bing.com/maps/?lvl=14&amp;sty=h&amp;cp=36.3378~41.8535&amp;sp=point.36.3378_41.8535","Maplink3")</f>
        <v>Maplink3</v>
      </c>
    </row>
    <row r="1572" spans="1:51" x14ac:dyDescent="0.2">
      <c r="A1572" s="102">
        <v>23254</v>
      </c>
      <c r="B1572" s="103" t="s">
        <v>35</v>
      </c>
      <c r="C1572" s="103" t="s">
        <v>103</v>
      </c>
      <c r="D1572" s="103" t="s">
        <v>3060</v>
      </c>
      <c r="E1572" s="103" t="s">
        <v>3061</v>
      </c>
      <c r="F1572" s="103">
        <v>36.3021812</v>
      </c>
      <c r="G1572" s="103">
        <v>41.866055599299997</v>
      </c>
      <c r="H1572" s="102">
        <v>120</v>
      </c>
      <c r="I1572" s="102">
        <v>720</v>
      </c>
      <c r="J1572" s="103"/>
      <c r="K1572" s="103"/>
      <c r="L1572" s="103"/>
      <c r="M1572" s="103">
        <v>118</v>
      </c>
      <c r="N1572" s="103">
        <v>2</v>
      </c>
      <c r="O1572" s="103"/>
      <c r="P1572" s="103"/>
      <c r="Q1572" s="103"/>
      <c r="R1572" s="103"/>
      <c r="S1572" s="103"/>
      <c r="T1572" s="103"/>
      <c r="U1572" s="103"/>
      <c r="V1572" s="103"/>
      <c r="W1572" s="103"/>
      <c r="X1572" s="103"/>
      <c r="Y1572" s="103">
        <v>85</v>
      </c>
      <c r="Z1572" s="103"/>
      <c r="AA1572" s="103"/>
      <c r="AB1572" s="103"/>
      <c r="AC1572" s="103"/>
      <c r="AD1572" s="103"/>
      <c r="AE1572" s="103"/>
      <c r="AF1572" s="103"/>
      <c r="AG1572" s="103">
        <v>35</v>
      </c>
      <c r="AH1572" s="103"/>
      <c r="AI1572" s="103"/>
      <c r="AJ1572" s="103"/>
      <c r="AK1572" s="103"/>
      <c r="AL1572" s="103"/>
      <c r="AM1572" s="103"/>
      <c r="AN1572" s="103"/>
      <c r="AO1572" s="103">
        <v>120</v>
      </c>
      <c r="AP1572" s="103"/>
      <c r="AQ1572" s="103"/>
      <c r="AR1572" s="103"/>
      <c r="AS1572" s="103"/>
      <c r="AT1572" s="103"/>
      <c r="AU1572" s="103"/>
      <c r="AV1572" s="103"/>
      <c r="AW1572" s="104" t="str">
        <f>HYPERLINK("http://www.openstreetmap.org/?mlat=36.3022&amp;mlon=41.8661&amp;zoom=12#map=12/36.3022/41.8661","Maplink1")</f>
        <v>Maplink1</v>
      </c>
      <c r="AX1572" s="104" t="str">
        <f>HYPERLINK("https://www.google.iq/maps/search/+36.3022,41.8661/@36.3022,41.8661,14z?hl=en","Maplink2")</f>
        <v>Maplink2</v>
      </c>
      <c r="AY1572" s="104" t="str">
        <f>HYPERLINK("http://www.bing.com/maps/?lvl=14&amp;sty=h&amp;cp=36.3022~41.8661&amp;sp=point.36.3022_41.8661","Maplink3")</f>
        <v>Maplink3</v>
      </c>
    </row>
    <row r="1573" spans="1:51" x14ac:dyDescent="0.2">
      <c r="A1573" s="102">
        <v>27365</v>
      </c>
      <c r="B1573" s="103" t="s">
        <v>35</v>
      </c>
      <c r="C1573" s="103" t="s">
        <v>103</v>
      </c>
      <c r="D1573" s="103" t="s">
        <v>2974</v>
      </c>
      <c r="E1573" s="103" t="s">
        <v>2975</v>
      </c>
      <c r="F1573" s="103">
        <v>36.4342847104</v>
      </c>
      <c r="G1573" s="103">
        <v>41.906650339199999</v>
      </c>
      <c r="H1573" s="102">
        <v>31</v>
      </c>
      <c r="I1573" s="102">
        <v>186</v>
      </c>
      <c r="J1573" s="103"/>
      <c r="K1573" s="103"/>
      <c r="L1573" s="103"/>
      <c r="M1573" s="103">
        <v>26</v>
      </c>
      <c r="N1573" s="103"/>
      <c r="O1573" s="103"/>
      <c r="P1573" s="103">
        <v>5</v>
      </c>
      <c r="Q1573" s="103"/>
      <c r="R1573" s="103"/>
      <c r="S1573" s="103"/>
      <c r="T1573" s="103"/>
      <c r="U1573" s="103"/>
      <c r="V1573" s="103"/>
      <c r="W1573" s="103"/>
      <c r="X1573" s="103"/>
      <c r="Y1573" s="103">
        <v>31</v>
      </c>
      <c r="Z1573" s="103"/>
      <c r="AA1573" s="103"/>
      <c r="AB1573" s="103"/>
      <c r="AC1573" s="103"/>
      <c r="AD1573" s="103"/>
      <c r="AE1573" s="103"/>
      <c r="AF1573" s="103"/>
      <c r="AG1573" s="103"/>
      <c r="AH1573" s="103"/>
      <c r="AI1573" s="103"/>
      <c r="AJ1573" s="103"/>
      <c r="AK1573" s="103"/>
      <c r="AL1573" s="103"/>
      <c r="AM1573" s="103"/>
      <c r="AN1573" s="103"/>
      <c r="AO1573" s="103">
        <v>31</v>
      </c>
      <c r="AP1573" s="103"/>
      <c r="AQ1573" s="103"/>
      <c r="AR1573" s="103"/>
      <c r="AS1573" s="103"/>
      <c r="AT1573" s="103"/>
      <c r="AU1573" s="103"/>
      <c r="AV1573" s="103"/>
      <c r="AW1573" s="104" t="str">
        <f>HYPERLINK("http://www.openstreetmap.org/?mlat=36.4343&amp;mlon=41.9067&amp;zoom=12#map=12/36.4343/41.9067","Maplink1")</f>
        <v>Maplink1</v>
      </c>
      <c r="AX1573" s="104" t="str">
        <f>HYPERLINK("https://www.google.iq/maps/search/+36.4343,41.9067/@36.4343,41.9067,14z?hl=en","Maplink2")</f>
        <v>Maplink2</v>
      </c>
      <c r="AY1573" s="104" t="str">
        <f>HYPERLINK("http://www.bing.com/maps/?lvl=14&amp;sty=h&amp;cp=36.4343~41.9067&amp;sp=point.36.4343_41.9067","Maplink3")</f>
        <v>Maplink3</v>
      </c>
    </row>
    <row r="1574" spans="1:51" x14ac:dyDescent="0.2">
      <c r="A1574" s="102">
        <v>34043</v>
      </c>
      <c r="B1574" s="103" t="s">
        <v>35</v>
      </c>
      <c r="C1574" s="103" t="s">
        <v>103</v>
      </c>
      <c r="D1574" s="103" t="s">
        <v>2976</v>
      </c>
      <c r="E1574" s="103" t="s">
        <v>2977</v>
      </c>
      <c r="F1574" s="103">
        <v>36.163051000000003</v>
      </c>
      <c r="G1574" s="103">
        <v>42.023975</v>
      </c>
      <c r="H1574" s="102">
        <v>50</v>
      </c>
      <c r="I1574" s="102">
        <v>300</v>
      </c>
      <c r="J1574" s="103"/>
      <c r="K1574" s="103"/>
      <c r="L1574" s="103"/>
      <c r="M1574" s="103">
        <v>50</v>
      </c>
      <c r="N1574" s="103"/>
      <c r="O1574" s="103"/>
      <c r="P1574" s="103"/>
      <c r="Q1574" s="103"/>
      <c r="R1574" s="103"/>
      <c r="S1574" s="103"/>
      <c r="T1574" s="103"/>
      <c r="U1574" s="103"/>
      <c r="V1574" s="103"/>
      <c r="W1574" s="103"/>
      <c r="X1574" s="103"/>
      <c r="Y1574" s="103">
        <v>4</v>
      </c>
      <c r="Z1574" s="103"/>
      <c r="AA1574" s="103"/>
      <c r="AB1574" s="103"/>
      <c r="AC1574" s="103"/>
      <c r="AD1574" s="103"/>
      <c r="AE1574" s="103"/>
      <c r="AF1574" s="103"/>
      <c r="AG1574" s="103">
        <v>45</v>
      </c>
      <c r="AH1574" s="103"/>
      <c r="AI1574" s="103"/>
      <c r="AJ1574" s="103">
        <v>1</v>
      </c>
      <c r="AK1574" s="103"/>
      <c r="AL1574" s="103"/>
      <c r="AM1574" s="103"/>
      <c r="AN1574" s="103"/>
      <c r="AO1574" s="103"/>
      <c r="AP1574" s="103"/>
      <c r="AQ1574" s="103"/>
      <c r="AR1574" s="103"/>
      <c r="AS1574" s="103">
        <v>50</v>
      </c>
      <c r="AT1574" s="103"/>
      <c r="AU1574" s="103"/>
      <c r="AV1574" s="103"/>
      <c r="AW1574" s="104" t="str">
        <f>HYPERLINK("http://www.openstreetmap.org/?mlat=36.1631&amp;mlon=42.024&amp;zoom=12#map=12/36.1631/42.024","Maplink1")</f>
        <v>Maplink1</v>
      </c>
      <c r="AX1574" s="104" t="str">
        <f>HYPERLINK("https://www.google.iq/maps/search/+36.1631,42.024/@36.1631,42.024,14z?hl=en","Maplink2")</f>
        <v>Maplink2</v>
      </c>
      <c r="AY1574" s="104" t="str">
        <f>HYPERLINK("http://www.bing.com/maps/?lvl=14&amp;sty=h&amp;cp=36.1631~42.024&amp;sp=point.36.1631_42.024","Maplink3")</f>
        <v>Maplink3</v>
      </c>
    </row>
    <row r="1575" spans="1:51" x14ac:dyDescent="0.2">
      <c r="A1575" s="102">
        <v>28447</v>
      </c>
      <c r="B1575" s="103" t="s">
        <v>35</v>
      </c>
      <c r="C1575" s="103" t="s">
        <v>103</v>
      </c>
      <c r="D1575" s="103" t="s">
        <v>3002</v>
      </c>
      <c r="E1575" s="103" t="s">
        <v>3003</v>
      </c>
      <c r="F1575" s="103">
        <v>36.458525739999999</v>
      </c>
      <c r="G1575" s="103">
        <v>41.8623468324</v>
      </c>
      <c r="H1575" s="102">
        <v>80</v>
      </c>
      <c r="I1575" s="102">
        <v>480</v>
      </c>
      <c r="J1575" s="103"/>
      <c r="K1575" s="103"/>
      <c r="L1575" s="103"/>
      <c r="M1575" s="103">
        <v>80</v>
      </c>
      <c r="N1575" s="103"/>
      <c r="O1575" s="103"/>
      <c r="P1575" s="103"/>
      <c r="Q1575" s="103"/>
      <c r="R1575" s="103"/>
      <c r="S1575" s="103"/>
      <c r="T1575" s="103"/>
      <c r="U1575" s="103"/>
      <c r="V1575" s="103"/>
      <c r="W1575" s="103"/>
      <c r="X1575" s="103"/>
      <c r="Y1575" s="103">
        <v>80</v>
      </c>
      <c r="Z1575" s="103"/>
      <c r="AA1575" s="103"/>
      <c r="AB1575" s="103"/>
      <c r="AC1575" s="103"/>
      <c r="AD1575" s="103"/>
      <c r="AE1575" s="103"/>
      <c r="AF1575" s="103"/>
      <c r="AG1575" s="103"/>
      <c r="AH1575" s="103"/>
      <c r="AI1575" s="103"/>
      <c r="AJ1575" s="103"/>
      <c r="AK1575" s="103"/>
      <c r="AL1575" s="103"/>
      <c r="AM1575" s="103"/>
      <c r="AN1575" s="103"/>
      <c r="AO1575" s="103">
        <v>80</v>
      </c>
      <c r="AP1575" s="103"/>
      <c r="AQ1575" s="103"/>
      <c r="AR1575" s="103"/>
      <c r="AS1575" s="103"/>
      <c r="AT1575" s="103"/>
      <c r="AU1575" s="103"/>
      <c r="AV1575" s="103"/>
      <c r="AW1575" s="104" t="str">
        <f>HYPERLINK("http://www.openstreetmap.org/?mlat=36.4585&amp;mlon=41.8623&amp;zoom=12#map=12/36.4585/41.8623","Maplink1")</f>
        <v>Maplink1</v>
      </c>
      <c r="AX1575" s="104" t="str">
        <f>HYPERLINK("https://www.google.iq/maps/search/+36.4585,41.8623/@36.4585,41.8623,14z?hl=en","Maplink2")</f>
        <v>Maplink2</v>
      </c>
      <c r="AY1575" s="104" t="str">
        <f>HYPERLINK("http://www.bing.com/maps/?lvl=14&amp;sty=h&amp;cp=36.4585~41.8623&amp;sp=point.36.4585_41.8623","Maplink3")</f>
        <v>Maplink3</v>
      </c>
    </row>
    <row r="1576" spans="1:51" x14ac:dyDescent="0.2">
      <c r="A1576" s="102">
        <v>33488</v>
      </c>
      <c r="B1576" s="103" t="s">
        <v>35</v>
      </c>
      <c r="C1576" s="103" t="s">
        <v>103</v>
      </c>
      <c r="D1576" s="103" t="s">
        <v>3004</v>
      </c>
      <c r="E1576" s="103" t="s">
        <v>3005</v>
      </c>
      <c r="F1576" s="103">
        <v>36.202122000000003</v>
      </c>
      <c r="G1576" s="103">
        <v>41.981203000000001</v>
      </c>
      <c r="H1576" s="102">
        <v>50</v>
      </c>
      <c r="I1576" s="102">
        <v>300</v>
      </c>
      <c r="J1576" s="103"/>
      <c r="K1576" s="103"/>
      <c r="L1576" s="103"/>
      <c r="M1576" s="103">
        <v>50</v>
      </c>
      <c r="N1576" s="103"/>
      <c r="O1576" s="103"/>
      <c r="P1576" s="103"/>
      <c r="Q1576" s="103"/>
      <c r="R1576" s="103"/>
      <c r="S1576" s="103"/>
      <c r="T1576" s="103"/>
      <c r="U1576" s="103"/>
      <c r="V1576" s="103"/>
      <c r="W1576" s="103"/>
      <c r="X1576" s="103"/>
      <c r="Y1576" s="103"/>
      <c r="Z1576" s="103"/>
      <c r="AA1576" s="103"/>
      <c r="AB1576" s="103"/>
      <c r="AC1576" s="103"/>
      <c r="AD1576" s="103"/>
      <c r="AE1576" s="103"/>
      <c r="AF1576" s="103"/>
      <c r="AG1576" s="103">
        <v>50</v>
      </c>
      <c r="AH1576" s="103"/>
      <c r="AI1576" s="103"/>
      <c r="AJ1576" s="103"/>
      <c r="AK1576" s="103"/>
      <c r="AL1576" s="103"/>
      <c r="AM1576" s="103"/>
      <c r="AN1576" s="103"/>
      <c r="AO1576" s="103"/>
      <c r="AP1576" s="103"/>
      <c r="AQ1576" s="103"/>
      <c r="AR1576" s="103"/>
      <c r="AS1576" s="103">
        <v>50</v>
      </c>
      <c r="AT1576" s="103"/>
      <c r="AU1576" s="103"/>
      <c r="AV1576" s="103"/>
      <c r="AW1576" s="104" t="str">
        <f>HYPERLINK("http://www.openstreetmap.org/?mlat=36.2021&amp;mlon=41.9812&amp;zoom=12#map=12/36.2021/41.9812","Maplink1")</f>
        <v>Maplink1</v>
      </c>
      <c r="AX1576" s="104" t="str">
        <f>HYPERLINK("https://www.google.iq/maps/search/+36.2021,41.9812/@36.2021,41.9812,14z?hl=en","Maplink2")</f>
        <v>Maplink2</v>
      </c>
      <c r="AY1576" s="104" t="str">
        <f>HYPERLINK("http://www.bing.com/maps/?lvl=14&amp;sty=h&amp;cp=36.2021~41.9812&amp;sp=point.36.2021_41.9812","Maplink3")</f>
        <v>Maplink3</v>
      </c>
    </row>
    <row r="1577" spans="1:51" x14ac:dyDescent="0.2">
      <c r="A1577" s="102">
        <v>33653</v>
      </c>
      <c r="B1577" s="103" t="s">
        <v>35</v>
      </c>
      <c r="C1577" s="103" t="s">
        <v>103</v>
      </c>
      <c r="D1577" s="103" t="s">
        <v>4013</v>
      </c>
      <c r="E1577" s="103" t="s">
        <v>4014</v>
      </c>
      <c r="F1577" s="103">
        <v>36.3425625</v>
      </c>
      <c r="G1577" s="103">
        <v>41.830584500000001</v>
      </c>
      <c r="H1577" s="102">
        <v>14</v>
      </c>
      <c r="I1577" s="102">
        <v>84</v>
      </c>
      <c r="J1577" s="103"/>
      <c r="K1577" s="103"/>
      <c r="L1577" s="103"/>
      <c r="M1577" s="103">
        <v>14</v>
      </c>
      <c r="N1577" s="103"/>
      <c r="O1577" s="103"/>
      <c r="P1577" s="103"/>
      <c r="Q1577" s="103"/>
      <c r="R1577" s="103"/>
      <c r="S1577" s="103"/>
      <c r="T1577" s="103"/>
      <c r="U1577" s="103"/>
      <c r="V1577" s="103"/>
      <c r="W1577" s="103"/>
      <c r="X1577" s="103"/>
      <c r="Y1577" s="103"/>
      <c r="Z1577" s="103"/>
      <c r="AA1577" s="103"/>
      <c r="AB1577" s="103"/>
      <c r="AC1577" s="103"/>
      <c r="AD1577" s="103"/>
      <c r="AE1577" s="103"/>
      <c r="AF1577" s="103"/>
      <c r="AG1577" s="103">
        <v>14</v>
      </c>
      <c r="AH1577" s="103"/>
      <c r="AI1577" s="103"/>
      <c r="AJ1577" s="103"/>
      <c r="AK1577" s="103"/>
      <c r="AL1577" s="103"/>
      <c r="AM1577" s="103"/>
      <c r="AN1577" s="103"/>
      <c r="AO1577" s="103">
        <v>14</v>
      </c>
      <c r="AP1577" s="103"/>
      <c r="AQ1577" s="103"/>
      <c r="AR1577" s="103"/>
      <c r="AS1577" s="103"/>
      <c r="AT1577" s="103"/>
      <c r="AU1577" s="103"/>
      <c r="AV1577" s="103"/>
      <c r="AW1577" s="104" t="str">
        <f>HYPERLINK("http://www.openstreetmap.org/?mlat=36.3426&amp;mlon=41.8306&amp;zoom=12#map=12/36.3426/41.8306","Maplink1")</f>
        <v>Maplink1</v>
      </c>
      <c r="AX1577" s="104" t="str">
        <f>HYPERLINK("https://www.google.iq/maps/search/+36.3426,41.8306/@36.3426,41.8306,14z?hl=en","Maplink2")</f>
        <v>Maplink2</v>
      </c>
      <c r="AY1577" s="104" t="str">
        <f>HYPERLINK("http://www.bing.com/maps/?lvl=14&amp;sty=h&amp;cp=36.3426~41.8306&amp;sp=point.36.3426_41.8306","Maplink3")</f>
        <v>Maplink3</v>
      </c>
    </row>
    <row r="1578" spans="1:51" x14ac:dyDescent="0.2">
      <c r="A1578" s="102">
        <v>33871</v>
      </c>
      <c r="B1578" s="103" t="s">
        <v>35</v>
      </c>
      <c r="C1578" s="103" t="s">
        <v>103</v>
      </c>
      <c r="D1578" s="103" t="s">
        <v>3006</v>
      </c>
      <c r="E1578" s="103" t="s">
        <v>3007</v>
      </c>
      <c r="F1578" s="103">
        <v>36.153852000000001</v>
      </c>
      <c r="G1578" s="103">
        <v>41.961241000000001</v>
      </c>
      <c r="H1578" s="102">
        <v>65</v>
      </c>
      <c r="I1578" s="102">
        <v>390</v>
      </c>
      <c r="J1578" s="103"/>
      <c r="K1578" s="103"/>
      <c r="L1578" s="103"/>
      <c r="M1578" s="103">
        <v>65</v>
      </c>
      <c r="N1578" s="103"/>
      <c r="O1578" s="103"/>
      <c r="P1578" s="103"/>
      <c r="Q1578" s="103"/>
      <c r="R1578" s="103"/>
      <c r="S1578" s="103"/>
      <c r="T1578" s="103"/>
      <c r="U1578" s="103"/>
      <c r="V1578" s="103"/>
      <c r="W1578" s="103"/>
      <c r="X1578" s="103"/>
      <c r="Y1578" s="103"/>
      <c r="Z1578" s="103"/>
      <c r="AA1578" s="103"/>
      <c r="AB1578" s="103"/>
      <c r="AC1578" s="103"/>
      <c r="AD1578" s="103"/>
      <c r="AE1578" s="103"/>
      <c r="AF1578" s="103"/>
      <c r="AG1578" s="103">
        <v>65</v>
      </c>
      <c r="AH1578" s="103"/>
      <c r="AI1578" s="103"/>
      <c r="AJ1578" s="103"/>
      <c r="AK1578" s="103"/>
      <c r="AL1578" s="103"/>
      <c r="AM1578" s="103"/>
      <c r="AN1578" s="103"/>
      <c r="AO1578" s="103"/>
      <c r="AP1578" s="103"/>
      <c r="AQ1578" s="103"/>
      <c r="AR1578" s="103"/>
      <c r="AS1578" s="103">
        <v>65</v>
      </c>
      <c r="AT1578" s="103"/>
      <c r="AU1578" s="103"/>
      <c r="AV1578" s="103"/>
      <c r="AW1578" s="104" t="str">
        <f>HYPERLINK("http://www.openstreetmap.org/?mlat=36.1539&amp;mlon=41.9612&amp;zoom=12#map=12/36.1539/41.9612","Maplink1")</f>
        <v>Maplink1</v>
      </c>
      <c r="AX1578" s="104" t="str">
        <f>HYPERLINK("https://www.google.iq/maps/search/+36.1539,41.9612/@36.1539,41.9612,14z?hl=en","Maplink2")</f>
        <v>Maplink2</v>
      </c>
      <c r="AY1578" s="104" t="str">
        <f>HYPERLINK("http://www.bing.com/maps/?lvl=14&amp;sty=h&amp;cp=36.1539~41.9612&amp;sp=point.36.1539_41.9612","Maplink3")</f>
        <v>Maplink3</v>
      </c>
    </row>
    <row r="1579" spans="1:51" x14ac:dyDescent="0.2">
      <c r="A1579" s="102">
        <v>17845</v>
      </c>
      <c r="B1579" s="103" t="s">
        <v>35</v>
      </c>
      <c r="C1579" s="103" t="s">
        <v>103</v>
      </c>
      <c r="D1579" s="103" t="s">
        <v>2984</v>
      </c>
      <c r="E1579" s="103" t="s">
        <v>2985</v>
      </c>
      <c r="F1579" s="103">
        <v>36.464740753699999</v>
      </c>
      <c r="G1579" s="103">
        <v>41.627578613600001</v>
      </c>
      <c r="H1579" s="102">
        <v>321</v>
      </c>
      <c r="I1579" s="102">
        <v>1926</v>
      </c>
      <c r="J1579" s="103"/>
      <c r="K1579" s="103"/>
      <c r="L1579" s="103"/>
      <c r="M1579" s="103">
        <v>321</v>
      </c>
      <c r="N1579" s="103"/>
      <c r="O1579" s="103"/>
      <c r="P1579" s="103"/>
      <c r="Q1579" s="103"/>
      <c r="R1579" s="103"/>
      <c r="S1579" s="103"/>
      <c r="T1579" s="103"/>
      <c r="U1579" s="103"/>
      <c r="V1579" s="103"/>
      <c r="W1579" s="103"/>
      <c r="X1579" s="103"/>
      <c r="Y1579" s="103">
        <v>171</v>
      </c>
      <c r="Z1579" s="103"/>
      <c r="AA1579" s="103"/>
      <c r="AB1579" s="103"/>
      <c r="AC1579" s="103"/>
      <c r="AD1579" s="103"/>
      <c r="AE1579" s="103"/>
      <c r="AF1579" s="103"/>
      <c r="AG1579" s="103">
        <v>150</v>
      </c>
      <c r="AH1579" s="103"/>
      <c r="AI1579" s="103"/>
      <c r="AJ1579" s="103"/>
      <c r="AK1579" s="103"/>
      <c r="AL1579" s="103"/>
      <c r="AM1579" s="103"/>
      <c r="AN1579" s="103"/>
      <c r="AO1579" s="103">
        <v>321</v>
      </c>
      <c r="AP1579" s="103"/>
      <c r="AQ1579" s="103"/>
      <c r="AR1579" s="103"/>
      <c r="AS1579" s="103"/>
      <c r="AT1579" s="103"/>
      <c r="AU1579" s="103"/>
      <c r="AV1579" s="103"/>
      <c r="AW1579" s="104" t="str">
        <f>HYPERLINK("http://www.openstreetmap.org/?mlat=36.4647&amp;mlon=41.6276&amp;zoom=12#map=12/36.4647/41.6276","Maplink1")</f>
        <v>Maplink1</v>
      </c>
      <c r="AX1579" s="104" t="str">
        <f>HYPERLINK("https://www.google.iq/maps/search/+36.4647,41.6276/@36.4647,41.6276,14z?hl=en","Maplink2")</f>
        <v>Maplink2</v>
      </c>
      <c r="AY1579" s="104" t="str">
        <f>HYPERLINK("http://www.bing.com/maps/?lvl=14&amp;sty=h&amp;cp=36.4647~41.6276&amp;sp=point.36.4647_41.6276","Maplink3")</f>
        <v>Maplink3</v>
      </c>
    </row>
    <row r="1580" spans="1:51" x14ac:dyDescent="0.2">
      <c r="A1580" s="102">
        <v>27400</v>
      </c>
      <c r="B1580" s="103" t="s">
        <v>35</v>
      </c>
      <c r="C1580" s="103" t="s">
        <v>103</v>
      </c>
      <c r="D1580" s="103" t="s">
        <v>2986</v>
      </c>
      <c r="E1580" s="103" t="s">
        <v>2987</v>
      </c>
      <c r="F1580" s="103">
        <v>36.375917933399997</v>
      </c>
      <c r="G1580" s="103">
        <v>41.715414026200001</v>
      </c>
      <c r="H1580" s="102">
        <v>25</v>
      </c>
      <c r="I1580" s="102">
        <v>150</v>
      </c>
      <c r="J1580" s="103"/>
      <c r="K1580" s="103"/>
      <c r="L1580" s="103"/>
      <c r="M1580" s="103">
        <v>25</v>
      </c>
      <c r="N1580" s="103"/>
      <c r="O1580" s="103"/>
      <c r="P1580" s="103"/>
      <c r="Q1580" s="103"/>
      <c r="R1580" s="103"/>
      <c r="S1580" s="103"/>
      <c r="T1580" s="103"/>
      <c r="U1580" s="103"/>
      <c r="V1580" s="103"/>
      <c r="W1580" s="103"/>
      <c r="X1580" s="103"/>
      <c r="Y1580" s="103">
        <v>25</v>
      </c>
      <c r="Z1580" s="103"/>
      <c r="AA1580" s="103"/>
      <c r="AB1580" s="103"/>
      <c r="AC1580" s="103"/>
      <c r="AD1580" s="103"/>
      <c r="AE1580" s="103"/>
      <c r="AF1580" s="103"/>
      <c r="AG1580" s="103"/>
      <c r="AH1580" s="103"/>
      <c r="AI1580" s="103"/>
      <c r="AJ1580" s="103"/>
      <c r="AK1580" s="103"/>
      <c r="AL1580" s="103"/>
      <c r="AM1580" s="103"/>
      <c r="AN1580" s="103"/>
      <c r="AO1580" s="103">
        <v>25</v>
      </c>
      <c r="AP1580" s="103"/>
      <c r="AQ1580" s="103"/>
      <c r="AR1580" s="103"/>
      <c r="AS1580" s="103"/>
      <c r="AT1580" s="103"/>
      <c r="AU1580" s="103"/>
      <c r="AV1580" s="103"/>
      <c r="AW1580" s="104" t="str">
        <f>HYPERLINK("http://www.openstreetmap.org/?mlat=36.3759&amp;mlon=41.7154&amp;zoom=12#map=12/36.3759/41.7154","Maplink1")</f>
        <v>Maplink1</v>
      </c>
      <c r="AX1580" s="104" t="str">
        <f>HYPERLINK("https://www.google.iq/maps/search/+36.3759,41.7154/@36.3759,41.7154,14z?hl=en","Maplink2")</f>
        <v>Maplink2</v>
      </c>
      <c r="AY1580" s="104" t="str">
        <f>HYPERLINK("http://www.bing.com/maps/?lvl=14&amp;sty=h&amp;cp=36.3759~41.7154&amp;sp=point.36.3759_41.7154","Maplink3")</f>
        <v>Maplink3</v>
      </c>
    </row>
    <row r="1581" spans="1:51" x14ac:dyDescent="0.2">
      <c r="A1581" s="102">
        <v>33873</v>
      </c>
      <c r="B1581" s="103" t="s">
        <v>35</v>
      </c>
      <c r="C1581" s="103" t="s">
        <v>103</v>
      </c>
      <c r="D1581" s="103" t="s">
        <v>2988</v>
      </c>
      <c r="E1581" s="103" t="s">
        <v>2989</v>
      </c>
      <c r="F1581" s="103">
        <v>36.227443000000001</v>
      </c>
      <c r="G1581" s="103">
        <v>42.124177000000003</v>
      </c>
      <c r="H1581" s="102">
        <v>45</v>
      </c>
      <c r="I1581" s="102">
        <v>270</v>
      </c>
      <c r="J1581" s="103"/>
      <c r="K1581" s="103"/>
      <c r="L1581" s="103"/>
      <c r="M1581" s="103">
        <v>45</v>
      </c>
      <c r="N1581" s="103"/>
      <c r="O1581" s="103"/>
      <c r="P1581" s="103"/>
      <c r="Q1581" s="103"/>
      <c r="R1581" s="103"/>
      <c r="S1581" s="103"/>
      <c r="T1581" s="103"/>
      <c r="U1581" s="103"/>
      <c r="V1581" s="103"/>
      <c r="W1581" s="103"/>
      <c r="X1581" s="103"/>
      <c r="Y1581" s="103"/>
      <c r="Z1581" s="103"/>
      <c r="AA1581" s="103"/>
      <c r="AB1581" s="103"/>
      <c r="AC1581" s="103"/>
      <c r="AD1581" s="103"/>
      <c r="AE1581" s="103"/>
      <c r="AF1581" s="103"/>
      <c r="AG1581" s="103">
        <v>45</v>
      </c>
      <c r="AH1581" s="103"/>
      <c r="AI1581" s="103"/>
      <c r="AJ1581" s="103"/>
      <c r="AK1581" s="103"/>
      <c r="AL1581" s="103"/>
      <c r="AM1581" s="103"/>
      <c r="AN1581" s="103"/>
      <c r="AO1581" s="103"/>
      <c r="AP1581" s="103"/>
      <c r="AQ1581" s="103"/>
      <c r="AR1581" s="103"/>
      <c r="AS1581" s="103">
        <v>45</v>
      </c>
      <c r="AT1581" s="103"/>
      <c r="AU1581" s="103"/>
      <c r="AV1581" s="103"/>
      <c r="AW1581" s="104" t="str">
        <f>HYPERLINK("http://www.openstreetmap.org/?mlat=36.2274&amp;mlon=42.1242&amp;zoom=12#map=12/36.2274/42.1242","Maplink1")</f>
        <v>Maplink1</v>
      </c>
      <c r="AX1581" s="104" t="str">
        <f>HYPERLINK("https://www.google.iq/maps/search/+36.2274,42.1242/@36.2274,42.1242,14z?hl=en","Maplink2")</f>
        <v>Maplink2</v>
      </c>
      <c r="AY1581" s="104" t="str">
        <f>HYPERLINK("http://www.bing.com/maps/?lvl=14&amp;sty=h&amp;cp=36.2274~42.1242&amp;sp=point.36.2274_42.1242","Maplink3")</f>
        <v>Maplink3</v>
      </c>
    </row>
    <row r="1582" spans="1:51" x14ac:dyDescent="0.2">
      <c r="A1582" s="102">
        <v>34040</v>
      </c>
      <c r="B1582" s="103" t="s">
        <v>35</v>
      </c>
      <c r="C1582" s="103" t="s">
        <v>103</v>
      </c>
      <c r="D1582" s="103" t="s">
        <v>2990</v>
      </c>
      <c r="E1582" s="103" t="s">
        <v>2804</v>
      </c>
      <c r="F1582" s="103">
        <v>36.159613999999998</v>
      </c>
      <c r="G1582" s="103">
        <v>42.035240999999999</v>
      </c>
      <c r="H1582" s="102">
        <v>37</v>
      </c>
      <c r="I1582" s="102">
        <v>222</v>
      </c>
      <c r="J1582" s="103"/>
      <c r="K1582" s="103"/>
      <c r="L1582" s="103"/>
      <c r="M1582" s="103">
        <v>36</v>
      </c>
      <c r="N1582" s="103"/>
      <c r="O1582" s="103"/>
      <c r="P1582" s="103"/>
      <c r="Q1582" s="103">
        <v>1</v>
      </c>
      <c r="R1582" s="103"/>
      <c r="S1582" s="103"/>
      <c r="T1582" s="103"/>
      <c r="U1582" s="103"/>
      <c r="V1582" s="103"/>
      <c r="W1582" s="103"/>
      <c r="X1582" s="103"/>
      <c r="Y1582" s="103">
        <v>5</v>
      </c>
      <c r="Z1582" s="103"/>
      <c r="AA1582" s="103"/>
      <c r="AB1582" s="103"/>
      <c r="AC1582" s="103"/>
      <c r="AD1582" s="103"/>
      <c r="AE1582" s="103"/>
      <c r="AF1582" s="103"/>
      <c r="AG1582" s="103">
        <v>32</v>
      </c>
      <c r="AH1582" s="103"/>
      <c r="AI1582" s="103"/>
      <c r="AJ1582" s="103"/>
      <c r="AK1582" s="103"/>
      <c r="AL1582" s="103"/>
      <c r="AM1582" s="103"/>
      <c r="AN1582" s="103"/>
      <c r="AO1582" s="103"/>
      <c r="AP1582" s="103"/>
      <c r="AQ1582" s="103"/>
      <c r="AR1582" s="103"/>
      <c r="AS1582" s="103">
        <v>37</v>
      </c>
      <c r="AT1582" s="103"/>
      <c r="AU1582" s="103"/>
      <c r="AV1582" s="103"/>
      <c r="AW1582" s="104" t="str">
        <f>HYPERLINK("http://www.openstreetmap.org/?mlat=36.1596&amp;mlon=42.0352&amp;zoom=12#map=12/36.1596/42.0352","Maplink1")</f>
        <v>Maplink1</v>
      </c>
      <c r="AX1582" s="104" t="str">
        <f>HYPERLINK("https://www.google.iq/maps/search/+36.1596,42.0352/@36.1596,42.0352,14z?hl=en","Maplink2")</f>
        <v>Maplink2</v>
      </c>
      <c r="AY1582" s="104" t="str">
        <f>HYPERLINK("http://www.bing.com/maps/?lvl=14&amp;sty=h&amp;cp=36.1596~42.0352&amp;sp=point.36.1596_42.0352","Maplink3")</f>
        <v>Maplink3</v>
      </c>
    </row>
    <row r="1583" spans="1:51" x14ac:dyDescent="0.2">
      <c r="A1583" s="102">
        <v>23274</v>
      </c>
      <c r="B1583" s="103" t="s">
        <v>35</v>
      </c>
      <c r="C1583" s="103" t="s">
        <v>103</v>
      </c>
      <c r="D1583" s="103" t="s">
        <v>2991</v>
      </c>
      <c r="E1583" s="103" t="s">
        <v>266</v>
      </c>
      <c r="F1583" s="103">
        <v>36.323421485700003</v>
      </c>
      <c r="G1583" s="103">
        <v>41.873654786400003</v>
      </c>
      <c r="H1583" s="102">
        <v>89</v>
      </c>
      <c r="I1583" s="102">
        <v>534</v>
      </c>
      <c r="J1583" s="103">
        <v>14</v>
      </c>
      <c r="K1583" s="103"/>
      <c r="L1583" s="103"/>
      <c r="M1583" s="103">
        <v>65</v>
      </c>
      <c r="N1583" s="103">
        <v>10</v>
      </c>
      <c r="O1583" s="103"/>
      <c r="P1583" s="103"/>
      <c r="Q1583" s="103"/>
      <c r="R1583" s="103"/>
      <c r="S1583" s="103"/>
      <c r="T1583" s="103"/>
      <c r="U1583" s="103"/>
      <c r="V1583" s="103"/>
      <c r="W1583" s="103"/>
      <c r="X1583" s="103"/>
      <c r="Y1583" s="103">
        <v>59</v>
      </c>
      <c r="Z1583" s="103"/>
      <c r="AA1583" s="103"/>
      <c r="AB1583" s="103"/>
      <c r="AC1583" s="103"/>
      <c r="AD1583" s="103"/>
      <c r="AE1583" s="103"/>
      <c r="AF1583" s="103"/>
      <c r="AG1583" s="103">
        <v>30</v>
      </c>
      <c r="AH1583" s="103"/>
      <c r="AI1583" s="103"/>
      <c r="AJ1583" s="103"/>
      <c r="AK1583" s="103"/>
      <c r="AL1583" s="103"/>
      <c r="AM1583" s="103"/>
      <c r="AN1583" s="103"/>
      <c r="AO1583" s="103">
        <v>89</v>
      </c>
      <c r="AP1583" s="103"/>
      <c r="AQ1583" s="103"/>
      <c r="AR1583" s="103"/>
      <c r="AS1583" s="103"/>
      <c r="AT1583" s="103"/>
      <c r="AU1583" s="103"/>
      <c r="AV1583" s="103"/>
      <c r="AW1583" s="104" t="str">
        <f>HYPERLINK("http://www.openstreetmap.org/?mlat=36.3234&amp;mlon=41.8737&amp;zoom=12#map=12/36.3234/41.8737","Maplink1")</f>
        <v>Maplink1</v>
      </c>
      <c r="AX1583" s="104" t="str">
        <f>HYPERLINK("https://www.google.iq/maps/search/+36.3234,41.8737/@36.3234,41.8737,14z?hl=en","Maplink2")</f>
        <v>Maplink2</v>
      </c>
      <c r="AY1583" s="104" t="str">
        <f>HYPERLINK("http://www.bing.com/maps/?lvl=14&amp;sty=h&amp;cp=36.3234~41.8737&amp;sp=point.36.3234_41.8737","Maplink3")</f>
        <v>Maplink3</v>
      </c>
    </row>
    <row r="1584" spans="1:51" x14ac:dyDescent="0.2">
      <c r="A1584" s="102">
        <v>33516</v>
      </c>
      <c r="B1584" s="103" t="s">
        <v>35</v>
      </c>
      <c r="C1584" s="103" t="s">
        <v>103</v>
      </c>
      <c r="D1584" s="103" t="s">
        <v>2992</v>
      </c>
      <c r="E1584" s="103" t="s">
        <v>2993</v>
      </c>
      <c r="F1584" s="103">
        <v>36.578510999999999</v>
      </c>
      <c r="G1584" s="103">
        <v>41.915822267999999</v>
      </c>
      <c r="H1584" s="102">
        <v>118</v>
      </c>
      <c r="I1584" s="102">
        <v>708</v>
      </c>
      <c r="J1584" s="103"/>
      <c r="K1584" s="103"/>
      <c r="L1584" s="103"/>
      <c r="M1584" s="103">
        <v>53</v>
      </c>
      <c r="N1584" s="103">
        <v>65</v>
      </c>
      <c r="O1584" s="103"/>
      <c r="P1584" s="103"/>
      <c r="Q1584" s="103"/>
      <c r="R1584" s="103"/>
      <c r="S1584" s="103"/>
      <c r="T1584" s="103"/>
      <c r="U1584" s="103"/>
      <c r="V1584" s="103"/>
      <c r="W1584" s="103"/>
      <c r="X1584" s="103"/>
      <c r="Y1584" s="103"/>
      <c r="Z1584" s="103"/>
      <c r="AA1584" s="103"/>
      <c r="AB1584" s="103"/>
      <c r="AC1584" s="103"/>
      <c r="AD1584" s="103"/>
      <c r="AE1584" s="103"/>
      <c r="AF1584" s="103"/>
      <c r="AG1584" s="103">
        <v>118</v>
      </c>
      <c r="AH1584" s="103"/>
      <c r="AI1584" s="103"/>
      <c r="AJ1584" s="103"/>
      <c r="AK1584" s="103"/>
      <c r="AL1584" s="103"/>
      <c r="AM1584" s="103"/>
      <c r="AN1584" s="103"/>
      <c r="AO1584" s="103"/>
      <c r="AP1584" s="103"/>
      <c r="AQ1584" s="103">
        <v>118</v>
      </c>
      <c r="AR1584" s="103"/>
      <c r="AS1584" s="103"/>
      <c r="AT1584" s="103"/>
      <c r="AU1584" s="103"/>
      <c r="AV1584" s="103"/>
      <c r="AW1584" s="104" t="str">
        <f>HYPERLINK("http://www.openstreetmap.org/?mlat=36.5785&amp;mlon=41.9158&amp;zoom=12#map=12/36.5785/41.9158","Maplink1")</f>
        <v>Maplink1</v>
      </c>
      <c r="AX1584" s="104" t="str">
        <f>HYPERLINK("https://www.google.iq/maps/search/+36.5785,41.9158/@36.5785,41.9158,14z?hl=en","Maplink2")</f>
        <v>Maplink2</v>
      </c>
      <c r="AY1584" s="104" t="str">
        <f>HYPERLINK("http://www.bing.com/maps/?lvl=14&amp;sty=h&amp;cp=36.5785~41.9158&amp;sp=point.36.5785_41.9158","Maplink3")</f>
        <v>Maplink3</v>
      </c>
    </row>
    <row r="1585" spans="1:51" x14ac:dyDescent="0.2">
      <c r="A1585" s="102">
        <v>27283</v>
      </c>
      <c r="B1585" s="103" t="s">
        <v>35</v>
      </c>
      <c r="C1585" s="103" t="s">
        <v>103</v>
      </c>
      <c r="D1585" s="103" t="s">
        <v>2959</v>
      </c>
      <c r="E1585" s="103" t="s">
        <v>2960</v>
      </c>
      <c r="F1585" s="103">
        <v>36.470173343900001</v>
      </c>
      <c r="G1585" s="103">
        <v>41.738118462099997</v>
      </c>
      <c r="H1585" s="102">
        <v>500</v>
      </c>
      <c r="I1585" s="102">
        <v>3000</v>
      </c>
      <c r="J1585" s="103"/>
      <c r="K1585" s="103"/>
      <c r="L1585" s="103"/>
      <c r="M1585" s="103">
        <v>450</v>
      </c>
      <c r="N1585" s="103">
        <v>50</v>
      </c>
      <c r="O1585" s="103"/>
      <c r="P1585" s="103"/>
      <c r="Q1585" s="103"/>
      <c r="R1585" s="103"/>
      <c r="S1585" s="103"/>
      <c r="T1585" s="103"/>
      <c r="U1585" s="103"/>
      <c r="V1585" s="103"/>
      <c r="W1585" s="103"/>
      <c r="X1585" s="103"/>
      <c r="Y1585" s="103">
        <v>375</v>
      </c>
      <c r="Z1585" s="103"/>
      <c r="AA1585" s="103"/>
      <c r="AB1585" s="103"/>
      <c r="AC1585" s="103"/>
      <c r="AD1585" s="103"/>
      <c r="AE1585" s="103"/>
      <c r="AF1585" s="103"/>
      <c r="AG1585" s="103">
        <v>125</v>
      </c>
      <c r="AH1585" s="103"/>
      <c r="AI1585" s="103"/>
      <c r="AJ1585" s="103"/>
      <c r="AK1585" s="103"/>
      <c r="AL1585" s="103"/>
      <c r="AM1585" s="103"/>
      <c r="AN1585" s="103"/>
      <c r="AO1585" s="103">
        <v>500</v>
      </c>
      <c r="AP1585" s="103"/>
      <c r="AQ1585" s="103"/>
      <c r="AR1585" s="103"/>
      <c r="AS1585" s="103"/>
      <c r="AT1585" s="103"/>
      <c r="AU1585" s="103"/>
      <c r="AV1585" s="103"/>
      <c r="AW1585" s="104" t="str">
        <f>HYPERLINK("http://www.openstreetmap.org/?mlat=36.4702&amp;mlon=41.7381&amp;zoom=12#map=12/36.4702/41.7381","Maplink1")</f>
        <v>Maplink1</v>
      </c>
      <c r="AX1585" s="104" t="str">
        <f>HYPERLINK("https://www.google.iq/maps/search/+36.4702,41.7381/@36.4702,41.7381,14z?hl=en","Maplink2")</f>
        <v>Maplink2</v>
      </c>
      <c r="AY1585" s="104" t="str">
        <f>HYPERLINK("http://www.bing.com/maps/?lvl=14&amp;sty=h&amp;cp=36.4702~41.7381&amp;sp=point.36.4702_41.7381","Maplink3")</f>
        <v>Maplink3</v>
      </c>
    </row>
    <row r="1586" spans="1:51" x14ac:dyDescent="0.2">
      <c r="A1586" s="102">
        <v>28415</v>
      </c>
      <c r="B1586" s="103" t="s">
        <v>35</v>
      </c>
      <c r="C1586" s="103" t="s">
        <v>103</v>
      </c>
      <c r="D1586" s="103" t="s">
        <v>2961</v>
      </c>
      <c r="E1586" s="103" t="s">
        <v>2962</v>
      </c>
      <c r="F1586" s="103">
        <v>36.429188769699998</v>
      </c>
      <c r="G1586" s="103">
        <v>41.911908200500001</v>
      </c>
      <c r="H1586" s="102">
        <v>65</v>
      </c>
      <c r="I1586" s="102">
        <v>390</v>
      </c>
      <c r="J1586" s="103"/>
      <c r="K1586" s="103"/>
      <c r="L1586" s="103"/>
      <c r="M1586" s="103">
        <v>45</v>
      </c>
      <c r="N1586" s="103"/>
      <c r="O1586" s="103"/>
      <c r="P1586" s="103">
        <v>20</v>
      </c>
      <c r="Q1586" s="103"/>
      <c r="R1586" s="103"/>
      <c r="S1586" s="103"/>
      <c r="T1586" s="103"/>
      <c r="U1586" s="103"/>
      <c r="V1586" s="103"/>
      <c r="W1586" s="103"/>
      <c r="X1586" s="103"/>
      <c r="Y1586" s="103">
        <v>51</v>
      </c>
      <c r="Z1586" s="103"/>
      <c r="AA1586" s="103"/>
      <c r="AB1586" s="103"/>
      <c r="AC1586" s="103"/>
      <c r="AD1586" s="103"/>
      <c r="AE1586" s="103"/>
      <c r="AF1586" s="103"/>
      <c r="AG1586" s="103">
        <v>14</v>
      </c>
      <c r="AH1586" s="103"/>
      <c r="AI1586" s="103"/>
      <c r="AJ1586" s="103"/>
      <c r="AK1586" s="103"/>
      <c r="AL1586" s="103"/>
      <c r="AM1586" s="103"/>
      <c r="AN1586" s="103"/>
      <c r="AO1586" s="103">
        <v>65</v>
      </c>
      <c r="AP1586" s="103"/>
      <c r="AQ1586" s="103"/>
      <c r="AR1586" s="103"/>
      <c r="AS1586" s="103"/>
      <c r="AT1586" s="103"/>
      <c r="AU1586" s="103"/>
      <c r="AV1586" s="103"/>
      <c r="AW1586" s="104" t="str">
        <f>HYPERLINK("http://www.openstreetmap.org/?mlat=36.4292&amp;mlon=41.9119&amp;zoom=12#map=12/36.4292/41.9119","Maplink1")</f>
        <v>Maplink1</v>
      </c>
      <c r="AX1586" s="104" t="str">
        <f>HYPERLINK("https://www.google.iq/maps/search/+36.4292,41.9119/@36.4292,41.9119,14z?hl=en","Maplink2")</f>
        <v>Maplink2</v>
      </c>
      <c r="AY1586" s="104" t="str">
        <f>HYPERLINK("http://www.bing.com/maps/?lvl=14&amp;sty=h&amp;cp=36.4292~41.9119&amp;sp=point.36.4292_41.9119","Maplink3")</f>
        <v>Maplink3</v>
      </c>
    </row>
    <row r="1587" spans="1:51" x14ac:dyDescent="0.2">
      <c r="A1587" s="102">
        <v>27362</v>
      </c>
      <c r="B1587" s="103" t="s">
        <v>35</v>
      </c>
      <c r="C1587" s="103" t="s">
        <v>103</v>
      </c>
      <c r="D1587" s="103" t="s">
        <v>2943</v>
      </c>
      <c r="E1587" s="103" t="s">
        <v>2944</v>
      </c>
      <c r="F1587" s="103">
        <v>36.3738235832</v>
      </c>
      <c r="G1587" s="103">
        <v>41.749223582699997</v>
      </c>
      <c r="H1587" s="102">
        <v>11</v>
      </c>
      <c r="I1587" s="102">
        <v>66</v>
      </c>
      <c r="J1587" s="103"/>
      <c r="K1587" s="103"/>
      <c r="L1587" s="103"/>
      <c r="M1587" s="103">
        <v>11</v>
      </c>
      <c r="N1587" s="103"/>
      <c r="O1587" s="103"/>
      <c r="P1587" s="103"/>
      <c r="Q1587" s="103"/>
      <c r="R1587" s="103"/>
      <c r="S1587" s="103"/>
      <c r="T1587" s="103"/>
      <c r="U1587" s="103"/>
      <c r="V1587" s="103"/>
      <c r="W1587" s="103"/>
      <c r="X1587" s="103"/>
      <c r="Y1587" s="103">
        <v>11</v>
      </c>
      <c r="Z1587" s="103"/>
      <c r="AA1587" s="103"/>
      <c r="AB1587" s="103"/>
      <c r="AC1587" s="103"/>
      <c r="AD1587" s="103"/>
      <c r="AE1587" s="103"/>
      <c r="AF1587" s="103"/>
      <c r="AG1587" s="103"/>
      <c r="AH1587" s="103"/>
      <c r="AI1587" s="103"/>
      <c r="AJ1587" s="103"/>
      <c r="AK1587" s="103"/>
      <c r="AL1587" s="103"/>
      <c r="AM1587" s="103"/>
      <c r="AN1587" s="103"/>
      <c r="AO1587" s="103">
        <v>11</v>
      </c>
      <c r="AP1587" s="103"/>
      <c r="AQ1587" s="103"/>
      <c r="AR1587" s="103"/>
      <c r="AS1587" s="103"/>
      <c r="AT1587" s="103"/>
      <c r="AU1587" s="103"/>
      <c r="AV1587" s="103"/>
      <c r="AW1587" s="104" t="str">
        <f>HYPERLINK("http://www.openstreetmap.org/?mlat=36.3738&amp;mlon=41.7492&amp;zoom=12#map=12/36.3738/41.7492","Maplink1")</f>
        <v>Maplink1</v>
      </c>
      <c r="AX1587" s="104" t="str">
        <f>HYPERLINK("https://www.google.iq/maps/search/+36.3738,41.7492/@36.3738,41.7492,14z?hl=en","Maplink2")</f>
        <v>Maplink2</v>
      </c>
      <c r="AY1587" s="104" t="str">
        <f>HYPERLINK("http://www.bing.com/maps/?lvl=14&amp;sty=h&amp;cp=36.3738~41.7492&amp;sp=point.36.3738_41.7492","Maplink3")</f>
        <v>Maplink3</v>
      </c>
    </row>
    <row r="1588" spans="1:51" x14ac:dyDescent="0.2">
      <c r="A1588" s="102">
        <v>27401</v>
      </c>
      <c r="B1588" s="103" t="s">
        <v>35</v>
      </c>
      <c r="C1588" s="103" t="s">
        <v>103</v>
      </c>
      <c r="D1588" s="103" t="s">
        <v>2945</v>
      </c>
      <c r="E1588" s="103" t="s">
        <v>2946</v>
      </c>
      <c r="F1588" s="103">
        <v>36.459690092000002</v>
      </c>
      <c r="G1588" s="103">
        <v>41.612635058199999</v>
      </c>
      <c r="H1588" s="102">
        <v>40</v>
      </c>
      <c r="I1588" s="102">
        <v>240</v>
      </c>
      <c r="J1588" s="103"/>
      <c r="K1588" s="103"/>
      <c r="L1588" s="103"/>
      <c r="M1588" s="103">
        <v>40</v>
      </c>
      <c r="N1588" s="103"/>
      <c r="O1588" s="103"/>
      <c r="P1588" s="103"/>
      <c r="Q1588" s="103"/>
      <c r="R1588" s="103"/>
      <c r="S1588" s="103"/>
      <c r="T1588" s="103"/>
      <c r="U1588" s="103"/>
      <c r="V1588" s="103"/>
      <c r="W1588" s="103"/>
      <c r="X1588" s="103"/>
      <c r="Y1588" s="103">
        <v>40</v>
      </c>
      <c r="Z1588" s="103"/>
      <c r="AA1588" s="103"/>
      <c r="AB1588" s="103"/>
      <c r="AC1588" s="103"/>
      <c r="AD1588" s="103"/>
      <c r="AE1588" s="103"/>
      <c r="AF1588" s="103"/>
      <c r="AG1588" s="103"/>
      <c r="AH1588" s="103"/>
      <c r="AI1588" s="103"/>
      <c r="AJ1588" s="103"/>
      <c r="AK1588" s="103"/>
      <c r="AL1588" s="103"/>
      <c r="AM1588" s="103"/>
      <c r="AN1588" s="103"/>
      <c r="AO1588" s="103">
        <v>40</v>
      </c>
      <c r="AP1588" s="103"/>
      <c r="AQ1588" s="103"/>
      <c r="AR1588" s="103"/>
      <c r="AS1588" s="103"/>
      <c r="AT1588" s="103"/>
      <c r="AU1588" s="103"/>
      <c r="AV1588" s="103"/>
      <c r="AW1588" s="104" t="str">
        <f>HYPERLINK("http://www.openstreetmap.org/?mlat=36.4597&amp;mlon=41.6126&amp;zoom=12#map=12/36.4597/41.6126","Maplink1")</f>
        <v>Maplink1</v>
      </c>
      <c r="AX1588" s="104" t="str">
        <f>HYPERLINK("https://www.google.iq/maps/search/+36.4597,41.6126/@36.4597,41.6126,14z?hl=en","Maplink2")</f>
        <v>Maplink2</v>
      </c>
      <c r="AY1588" s="104" t="str">
        <f>HYPERLINK("http://www.bing.com/maps/?lvl=14&amp;sty=h&amp;cp=36.4597~41.6126&amp;sp=point.36.4597_41.6126","Maplink3")</f>
        <v>Maplink3</v>
      </c>
    </row>
    <row r="1589" spans="1:51" x14ac:dyDescent="0.2">
      <c r="A1589" s="102">
        <v>27287</v>
      </c>
      <c r="B1589" s="103" t="s">
        <v>35</v>
      </c>
      <c r="C1589" s="103" t="s">
        <v>103</v>
      </c>
      <c r="D1589" s="103" t="s">
        <v>2947</v>
      </c>
      <c r="E1589" s="103" t="s">
        <v>2948</v>
      </c>
      <c r="F1589" s="103">
        <v>36.472467276499998</v>
      </c>
      <c r="G1589" s="103">
        <v>42.0158882745</v>
      </c>
      <c r="H1589" s="102">
        <v>731</v>
      </c>
      <c r="I1589" s="102">
        <v>4386</v>
      </c>
      <c r="J1589" s="103"/>
      <c r="K1589" s="103"/>
      <c r="L1589" s="103"/>
      <c r="M1589" s="103">
        <v>640</v>
      </c>
      <c r="N1589" s="103">
        <v>91</v>
      </c>
      <c r="O1589" s="103"/>
      <c r="P1589" s="103"/>
      <c r="Q1589" s="103"/>
      <c r="R1589" s="103"/>
      <c r="S1589" s="103"/>
      <c r="T1589" s="103"/>
      <c r="U1589" s="103"/>
      <c r="V1589" s="103"/>
      <c r="W1589" s="103"/>
      <c r="X1589" s="103"/>
      <c r="Y1589" s="103">
        <v>590</v>
      </c>
      <c r="Z1589" s="103"/>
      <c r="AA1589" s="103"/>
      <c r="AB1589" s="103"/>
      <c r="AC1589" s="103"/>
      <c r="AD1589" s="103"/>
      <c r="AE1589" s="103"/>
      <c r="AF1589" s="103"/>
      <c r="AG1589" s="103">
        <v>141</v>
      </c>
      <c r="AH1589" s="103"/>
      <c r="AI1589" s="103"/>
      <c r="AJ1589" s="103"/>
      <c r="AK1589" s="103"/>
      <c r="AL1589" s="103"/>
      <c r="AM1589" s="103"/>
      <c r="AN1589" s="103"/>
      <c r="AO1589" s="103">
        <v>731</v>
      </c>
      <c r="AP1589" s="103"/>
      <c r="AQ1589" s="103"/>
      <c r="AR1589" s="103"/>
      <c r="AS1589" s="103"/>
      <c r="AT1589" s="103"/>
      <c r="AU1589" s="103"/>
      <c r="AV1589" s="103"/>
      <c r="AW1589" s="104" t="str">
        <f>HYPERLINK("http://www.openstreetmap.org/?mlat=36.4725&amp;mlon=42.0159&amp;zoom=12#map=12/36.4725/42.0159","Maplink1")</f>
        <v>Maplink1</v>
      </c>
      <c r="AX1589" s="104" t="str">
        <f>HYPERLINK("https://www.google.iq/maps/search/+36.4725,42.0159/@36.4725,42.0159,14z?hl=en","Maplink2")</f>
        <v>Maplink2</v>
      </c>
      <c r="AY1589" s="104" t="str">
        <f>HYPERLINK("http://www.bing.com/maps/?lvl=14&amp;sty=h&amp;cp=36.4725~42.0159&amp;sp=point.36.4725_42.0159","Maplink3")</f>
        <v>Maplink3</v>
      </c>
    </row>
    <row r="1590" spans="1:51" x14ac:dyDescent="0.2">
      <c r="A1590" s="102">
        <v>33484</v>
      </c>
      <c r="B1590" s="103" t="s">
        <v>35</v>
      </c>
      <c r="C1590" s="103" t="s">
        <v>103</v>
      </c>
      <c r="D1590" s="103" t="s">
        <v>2949</v>
      </c>
      <c r="E1590" s="103" t="s">
        <v>2950</v>
      </c>
      <c r="F1590" s="103">
        <v>36.145170999999998</v>
      </c>
      <c r="G1590" s="103">
        <v>42.102870099999997</v>
      </c>
      <c r="H1590" s="102">
        <v>45</v>
      </c>
      <c r="I1590" s="102">
        <v>270</v>
      </c>
      <c r="J1590" s="103"/>
      <c r="K1590" s="103"/>
      <c r="L1590" s="103"/>
      <c r="M1590" s="103">
        <v>45</v>
      </c>
      <c r="N1590" s="103"/>
      <c r="O1590" s="103"/>
      <c r="P1590" s="103"/>
      <c r="Q1590" s="103"/>
      <c r="R1590" s="103"/>
      <c r="S1590" s="103"/>
      <c r="T1590" s="103"/>
      <c r="U1590" s="103"/>
      <c r="V1590" s="103"/>
      <c r="W1590" s="103"/>
      <c r="X1590" s="103"/>
      <c r="Y1590" s="103"/>
      <c r="Z1590" s="103"/>
      <c r="AA1590" s="103"/>
      <c r="AB1590" s="103"/>
      <c r="AC1590" s="103"/>
      <c r="AD1590" s="103"/>
      <c r="AE1590" s="103"/>
      <c r="AF1590" s="103"/>
      <c r="AG1590" s="103">
        <v>45</v>
      </c>
      <c r="AH1590" s="103"/>
      <c r="AI1590" s="103"/>
      <c r="AJ1590" s="103"/>
      <c r="AK1590" s="103"/>
      <c r="AL1590" s="103"/>
      <c r="AM1590" s="103"/>
      <c r="AN1590" s="103"/>
      <c r="AO1590" s="103"/>
      <c r="AP1590" s="103"/>
      <c r="AQ1590" s="103"/>
      <c r="AR1590" s="103"/>
      <c r="AS1590" s="103">
        <v>45</v>
      </c>
      <c r="AT1590" s="103"/>
      <c r="AU1590" s="103"/>
      <c r="AV1590" s="103"/>
      <c r="AW1590" s="104" t="str">
        <f>HYPERLINK("http://www.openstreetmap.org/?mlat=36.1452&amp;mlon=42.1029&amp;zoom=12#map=12/36.1452/42.1029","Maplink1")</f>
        <v>Maplink1</v>
      </c>
      <c r="AX1590" s="104" t="str">
        <f>HYPERLINK("https://www.google.iq/maps/search/+36.1452,42.1029/@36.1452,42.1029,14z?hl=en","Maplink2")</f>
        <v>Maplink2</v>
      </c>
      <c r="AY1590" s="104" t="str">
        <f>HYPERLINK("http://www.bing.com/maps/?lvl=14&amp;sty=h&amp;cp=36.1452~42.1029&amp;sp=point.36.1452_42.1029","Maplink3")</f>
        <v>Maplink3</v>
      </c>
    </row>
    <row r="1591" spans="1:51" x14ac:dyDescent="0.2">
      <c r="A1591" s="102">
        <v>33996</v>
      </c>
      <c r="B1591" s="103" t="s">
        <v>35</v>
      </c>
      <c r="C1591" s="103" t="s">
        <v>103</v>
      </c>
      <c r="D1591" s="103" t="s">
        <v>2951</v>
      </c>
      <c r="E1591" s="103" t="s">
        <v>2952</v>
      </c>
      <c r="F1591" s="103">
        <v>36.188775999999997</v>
      </c>
      <c r="G1591" s="103">
        <v>41.945462999999997</v>
      </c>
      <c r="H1591" s="102">
        <v>30</v>
      </c>
      <c r="I1591" s="102">
        <v>180</v>
      </c>
      <c r="J1591" s="103">
        <v>10</v>
      </c>
      <c r="K1591" s="103"/>
      <c r="L1591" s="103"/>
      <c r="M1591" s="103">
        <v>20</v>
      </c>
      <c r="N1591" s="103"/>
      <c r="O1591" s="103"/>
      <c r="P1591" s="103"/>
      <c r="Q1591" s="103"/>
      <c r="R1591" s="103"/>
      <c r="S1591" s="103"/>
      <c r="T1591" s="103"/>
      <c r="U1591" s="103"/>
      <c r="V1591" s="103"/>
      <c r="W1591" s="103"/>
      <c r="X1591" s="103"/>
      <c r="Y1591" s="103"/>
      <c r="Z1591" s="103"/>
      <c r="AA1591" s="103"/>
      <c r="AB1591" s="103"/>
      <c r="AC1591" s="103"/>
      <c r="AD1591" s="103"/>
      <c r="AE1591" s="103"/>
      <c r="AF1591" s="103"/>
      <c r="AG1591" s="103">
        <v>30</v>
      </c>
      <c r="AH1591" s="103"/>
      <c r="AI1591" s="103"/>
      <c r="AJ1591" s="103"/>
      <c r="AK1591" s="103"/>
      <c r="AL1591" s="103"/>
      <c r="AM1591" s="103"/>
      <c r="AN1591" s="103"/>
      <c r="AO1591" s="103"/>
      <c r="AP1591" s="103"/>
      <c r="AQ1591" s="103"/>
      <c r="AR1591" s="103"/>
      <c r="AS1591" s="103">
        <v>30</v>
      </c>
      <c r="AT1591" s="103"/>
      <c r="AU1591" s="103"/>
      <c r="AV1591" s="103"/>
      <c r="AW1591" s="104" t="str">
        <f>HYPERLINK("http://www.openstreetmap.org/?mlat=36.1888&amp;mlon=41.9455&amp;zoom=12#map=12/36.1888/41.9455","Maplink1")</f>
        <v>Maplink1</v>
      </c>
      <c r="AX1591" s="104" t="str">
        <f>HYPERLINK("https://www.google.iq/maps/search/+36.1888,41.9455/@36.1888,41.9455,14z?hl=en","Maplink2")</f>
        <v>Maplink2</v>
      </c>
      <c r="AY1591" s="104" t="str">
        <f>HYPERLINK("http://www.bing.com/maps/?lvl=14&amp;sty=h&amp;cp=36.1888~41.9455&amp;sp=point.36.1888_41.9455","Maplink3")</f>
        <v>Maplink3</v>
      </c>
    </row>
    <row r="1592" spans="1:51" x14ac:dyDescent="0.2">
      <c r="A1592" s="102">
        <v>27397</v>
      </c>
      <c r="B1592" s="103" t="s">
        <v>35</v>
      </c>
      <c r="C1592" s="103" t="s">
        <v>103</v>
      </c>
      <c r="D1592" s="103" t="s">
        <v>2998</v>
      </c>
      <c r="E1592" s="103" t="s">
        <v>2999</v>
      </c>
      <c r="F1592" s="103">
        <v>36.416859670000001</v>
      </c>
      <c r="G1592" s="103">
        <v>41.893844873200003</v>
      </c>
      <c r="H1592" s="102">
        <v>45</v>
      </c>
      <c r="I1592" s="102">
        <v>270</v>
      </c>
      <c r="J1592" s="103"/>
      <c r="K1592" s="103"/>
      <c r="L1592" s="103"/>
      <c r="M1592" s="103">
        <v>15</v>
      </c>
      <c r="N1592" s="103"/>
      <c r="O1592" s="103">
        <v>20</v>
      </c>
      <c r="P1592" s="103">
        <v>10</v>
      </c>
      <c r="Q1592" s="103"/>
      <c r="R1592" s="103"/>
      <c r="S1592" s="103"/>
      <c r="T1592" s="103"/>
      <c r="U1592" s="103"/>
      <c r="V1592" s="103"/>
      <c r="W1592" s="103"/>
      <c r="X1592" s="103"/>
      <c r="Y1592" s="103">
        <v>45</v>
      </c>
      <c r="Z1592" s="103"/>
      <c r="AA1592" s="103"/>
      <c r="AB1592" s="103"/>
      <c r="AC1592" s="103"/>
      <c r="AD1592" s="103"/>
      <c r="AE1592" s="103"/>
      <c r="AF1592" s="103"/>
      <c r="AG1592" s="103"/>
      <c r="AH1592" s="103"/>
      <c r="AI1592" s="103"/>
      <c r="AJ1592" s="103"/>
      <c r="AK1592" s="103"/>
      <c r="AL1592" s="103"/>
      <c r="AM1592" s="103"/>
      <c r="AN1592" s="103"/>
      <c r="AO1592" s="103">
        <v>45</v>
      </c>
      <c r="AP1592" s="103"/>
      <c r="AQ1592" s="103"/>
      <c r="AR1592" s="103"/>
      <c r="AS1592" s="103"/>
      <c r="AT1592" s="103"/>
      <c r="AU1592" s="103"/>
      <c r="AV1592" s="103"/>
      <c r="AW1592" s="104" t="str">
        <f>HYPERLINK("http://www.openstreetmap.org/?mlat=36.4169&amp;mlon=41.8938&amp;zoom=12#map=12/36.4169/41.8938","Maplink1")</f>
        <v>Maplink1</v>
      </c>
      <c r="AX1592" s="104" t="str">
        <f>HYPERLINK("https://www.google.iq/maps/search/+36.4169,41.8938/@36.4169,41.8938,14z?hl=en","Maplink2")</f>
        <v>Maplink2</v>
      </c>
      <c r="AY1592" s="104" t="str">
        <f>HYPERLINK("http://www.bing.com/maps/?lvl=14&amp;sty=h&amp;cp=36.4169~41.8938&amp;sp=point.36.4169_41.8938","Maplink3")</f>
        <v>Maplink3</v>
      </c>
    </row>
    <row r="1593" spans="1:51" x14ac:dyDescent="0.2">
      <c r="A1593" s="102">
        <v>34035</v>
      </c>
      <c r="B1593" s="103" t="s">
        <v>35</v>
      </c>
      <c r="C1593" s="103" t="s">
        <v>103</v>
      </c>
      <c r="D1593" s="103" t="s">
        <v>3000</v>
      </c>
      <c r="E1593" s="103" t="s">
        <v>3001</v>
      </c>
      <c r="F1593" s="103">
        <v>36.153917</v>
      </c>
      <c r="G1593" s="103">
        <v>42.030101999999999</v>
      </c>
      <c r="H1593" s="102">
        <v>137</v>
      </c>
      <c r="I1593" s="102">
        <v>822</v>
      </c>
      <c r="J1593" s="103">
        <v>5</v>
      </c>
      <c r="K1593" s="103"/>
      <c r="L1593" s="103"/>
      <c r="M1593" s="103">
        <v>128</v>
      </c>
      <c r="N1593" s="103">
        <v>1</v>
      </c>
      <c r="O1593" s="103"/>
      <c r="P1593" s="103"/>
      <c r="Q1593" s="103">
        <v>3</v>
      </c>
      <c r="R1593" s="103"/>
      <c r="S1593" s="103"/>
      <c r="T1593" s="103"/>
      <c r="U1593" s="103"/>
      <c r="V1593" s="103"/>
      <c r="W1593" s="103">
        <v>4</v>
      </c>
      <c r="X1593" s="103"/>
      <c r="Y1593" s="103">
        <v>5</v>
      </c>
      <c r="Z1593" s="103"/>
      <c r="AA1593" s="103">
        <v>5</v>
      </c>
      <c r="AB1593" s="103"/>
      <c r="AC1593" s="103"/>
      <c r="AD1593" s="103"/>
      <c r="AE1593" s="103"/>
      <c r="AF1593" s="103"/>
      <c r="AG1593" s="103">
        <v>119</v>
      </c>
      <c r="AH1593" s="103"/>
      <c r="AI1593" s="103"/>
      <c r="AJ1593" s="103">
        <v>4</v>
      </c>
      <c r="AK1593" s="103"/>
      <c r="AL1593" s="103"/>
      <c r="AM1593" s="103"/>
      <c r="AN1593" s="103"/>
      <c r="AO1593" s="103"/>
      <c r="AP1593" s="103"/>
      <c r="AQ1593" s="103"/>
      <c r="AR1593" s="103"/>
      <c r="AS1593" s="103">
        <v>137</v>
      </c>
      <c r="AT1593" s="103"/>
      <c r="AU1593" s="103"/>
      <c r="AV1593" s="103"/>
      <c r="AW1593" s="104" t="str">
        <f>HYPERLINK("http://www.openstreetmap.org/?mlat=36.1539&amp;mlon=42.0301&amp;zoom=12#map=12/36.1539/42.0301","Maplink1")</f>
        <v>Maplink1</v>
      </c>
      <c r="AX1593" s="104" t="str">
        <f>HYPERLINK("https://www.google.iq/maps/search/+36.1539,42.0301/@36.1539,42.0301,14z?hl=en","Maplink2")</f>
        <v>Maplink2</v>
      </c>
      <c r="AY1593" s="104" t="str">
        <f>HYPERLINK("http://www.bing.com/maps/?lvl=14&amp;sty=h&amp;cp=36.1539~42.0301&amp;sp=point.36.1539_42.0301","Maplink3")</f>
        <v>Maplink3</v>
      </c>
    </row>
    <row r="1594" spans="1:51" x14ac:dyDescent="0.2">
      <c r="A1594" s="102">
        <v>23273</v>
      </c>
      <c r="B1594" s="103" t="s">
        <v>35</v>
      </c>
      <c r="C1594" s="103" t="s">
        <v>103</v>
      </c>
      <c r="D1594" s="103" t="s">
        <v>2973</v>
      </c>
      <c r="E1594" s="103" t="s">
        <v>157</v>
      </c>
      <c r="F1594" s="103">
        <v>36.318109999999997</v>
      </c>
      <c r="G1594" s="103">
        <v>41.858673609699999</v>
      </c>
      <c r="H1594" s="102">
        <v>210</v>
      </c>
      <c r="I1594" s="102">
        <v>1260</v>
      </c>
      <c r="J1594" s="103">
        <v>71</v>
      </c>
      <c r="K1594" s="103"/>
      <c r="L1594" s="103"/>
      <c r="M1594" s="103">
        <v>124</v>
      </c>
      <c r="N1594" s="103">
        <v>15</v>
      </c>
      <c r="O1594" s="103"/>
      <c r="P1594" s="103"/>
      <c r="Q1594" s="103"/>
      <c r="R1594" s="103"/>
      <c r="S1594" s="103"/>
      <c r="T1594" s="103"/>
      <c r="U1594" s="103"/>
      <c r="V1594" s="103"/>
      <c r="W1594" s="103"/>
      <c r="X1594" s="103"/>
      <c r="Y1594" s="103">
        <v>158</v>
      </c>
      <c r="Z1594" s="103"/>
      <c r="AA1594" s="103"/>
      <c r="AB1594" s="103"/>
      <c r="AC1594" s="103"/>
      <c r="AD1594" s="103"/>
      <c r="AE1594" s="103"/>
      <c r="AF1594" s="103"/>
      <c r="AG1594" s="103">
        <v>52</v>
      </c>
      <c r="AH1594" s="103"/>
      <c r="AI1594" s="103"/>
      <c r="AJ1594" s="103"/>
      <c r="AK1594" s="103"/>
      <c r="AL1594" s="103"/>
      <c r="AM1594" s="103"/>
      <c r="AN1594" s="103"/>
      <c r="AO1594" s="103">
        <v>210</v>
      </c>
      <c r="AP1594" s="103"/>
      <c r="AQ1594" s="103"/>
      <c r="AR1594" s="103"/>
      <c r="AS1594" s="103"/>
      <c r="AT1594" s="103"/>
      <c r="AU1594" s="103"/>
      <c r="AV1594" s="103"/>
      <c r="AW1594" s="104" t="str">
        <f>HYPERLINK("http://www.openstreetmap.org/?mlat=36.3181&amp;mlon=41.8587&amp;zoom=12#map=12/36.3181/41.8587","Maplink1")</f>
        <v>Maplink1</v>
      </c>
      <c r="AX1594" s="104" t="str">
        <f>HYPERLINK("https://www.google.iq/maps/search/+36.3181,41.8587/@36.3181,41.8587,14z?hl=en","Maplink2")</f>
        <v>Maplink2</v>
      </c>
      <c r="AY1594" s="104" t="str">
        <f>HYPERLINK("http://www.bing.com/maps/?lvl=14&amp;sty=h&amp;cp=36.3181~41.8587&amp;sp=point.36.3181_41.8587","Maplink3")</f>
        <v>Maplink3</v>
      </c>
    </row>
    <row r="1595" spans="1:51" x14ac:dyDescent="0.2">
      <c r="A1595" s="102">
        <v>27398</v>
      </c>
      <c r="B1595" s="103" t="s">
        <v>35</v>
      </c>
      <c r="C1595" s="103" t="s">
        <v>103</v>
      </c>
      <c r="D1595" s="103" t="s">
        <v>2978</v>
      </c>
      <c r="E1595" s="103" t="s">
        <v>2979</v>
      </c>
      <c r="F1595" s="103">
        <v>36.392418669400001</v>
      </c>
      <c r="G1595" s="103">
        <v>41.832972134499997</v>
      </c>
      <c r="H1595" s="102">
        <v>3</v>
      </c>
      <c r="I1595" s="102">
        <v>18</v>
      </c>
      <c r="J1595" s="103"/>
      <c r="K1595" s="103"/>
      <c r="L1595" s="103"/>
      <c r="M1595" s="103">
        <v>3</v>
      </c>
      <c r="N1595" s="103"/>
      <c r="O1595" s="103"/>
      <c r="P1595" s="103"/>
      <c r="Q1595" s="103"/>
      <c r="R1595" s="103"/>
      <c r="S1595" s="103"/>
      <c r="T1595" s="103"/>
      <c r="U1595" s="103"/>
      <c r="V1595" s="103"/>
      <c r="W1595" s="103"/>
      <c r="X1595" s="103"/>
      <c r="Y1595" s="103">
        <v>3</v>
      </c>
      <c r="Z1595" s="103"/>
      <c r="AA1595" s="103"/>
      <c r="AB1595" s="103"/>
      <c r="AC1595" s="103"/>
      <c r="AD1595" s="103"/>
      <c r="AE1595" s="103"/>
      <c r="AF1595" s="103"/>
      <c r="AG1595" s="103"/>
      <c r="AH1595" s="103"/>
      <c r="AI1595" s="103"/>
      <c r="AJ1595" s="103"/>
      <c r="AK1595" s="103"/>
      <c r="AL1595" s="103"/>
      <c r="AM1595" s="103"/>
      <c r="AN1595" s="103"/>
      <c r="AO1595" s="103">
        <v>3</v>
      </c>
      <c r="AP1595" s="103"/>
      <c r="AQ1595" s="103"/>
      <c r="AR1595" s="103"/>
      <c r="AS1595" s="103"/>
      <c r="AT1595" s="103"/>
      <c r="AU1595" s="103"/>
      <c r="AV1595" s="103"/>
      <c r="AW1595" s="104" t="str">
        <f>HYPERLINK("http://www.openstreetmap.org/?mlat=36.3924&amp;mlon=41.833&amp;zoom=12#map=12/36.3924/41.833","Maplink1")</f>
        <v>Maplink1</v>
      </c>
      <c r="AX1595" s="104" t="str">
        <f>HYPERLINK("https://www.google.iq/maps/search/+36.3924,41.833/@36.3924,41.833,14z?hl=en","Maplink2")</f>
        <v>Maplink2</v>
      </c>
      <c r="AY1595" s="104" t="str">
        <f>HYPERLINK("http://www.bing.com/maps/?lvl=14&amp;sty=h&amp;cp=36.3924~41.833&amp;sp=point.36.3924_41.833","Maplink3")</f>
        <v>Maplink3</v>
      </c>
    </row>
    <row r="1596" spans="1:51" x14ac:dyDescent="0.2">
      <c r="A1596" s="102">
        <v>28416</v>
      </c>
      <c r="B1596" s="103" t="s">
        <v>35</v>
      </c>
      <c r="C1596" s="103" t="s">
        <v>103</v>
      </c>
      <c r="D1596" s="103" t="s">
        <v>2980</v>
      </c>
      <c r="E1596" s="103" t="s">
        <v>2981</v>
      </c>
      <c r="F1596" s="103">
        <v>36.4429364728</v>
      </c>
      <c r="G1596" s="103">
        <v>41.799684337899997</v>
      </c>
      <c r="H1596" s="102">
        <v>8</v>
      </c>
      <c r="I1596" s="102">
        <v>48</v>
      </c>
      <c r="J1596" s="103"/>
      <c r="K1596" s="103"/>
      <c r="L1596" s="103"/>
      <c r="M1596" s="103">
        <v>8</v>
      </c>
      <c r="N1596" s="103"/>
      <c r="O1596" s="103"/>
      <c r="P1596" s="103"/>
      <c r="Q1596" s="103"/>
      <c r="R1596" s="103"/>
      <c r="S1596" s="103"/>
      <c r="T1596" s="103"/>
      <c r="U1596" s="103"/>
      <c r="V1596" s="103"/>
      <c r="W1596" s="103"/>
      <c r="X1596" s="103"/>
      <c r="Y1596" s="103">
        <v>8</v>
      </c>
      <c r="Z1596" s="103"/>
      <c r="AA1596" s="103"/>
      <c r="AB1596" s="103"/>
      <c r="AC1596" s="103"/>
      <c r="AD1596" s="103"/>
      <c r="AE1596" s="103"/>
      <c r="AF1596" s="103"/>
      <c r="AG1596" s="103"/>
      <c r="AH1596" s="103"/>
      <c r="AI1596" s="103"/>
      <c r="AJ1596" s="103"/>
      <c r="AK1596" s="103"/>
      <c r="AL1596" s="103"/>
      <c r="AM1596" s="103"/>
      <c r="AN1596" s="103"/>
      <c r="AO1596" s="103">
        <v>8</v>
      </c>
      <c r="AP1596" s="103"/>
      <c r="AQ1596" s="103"/>
      <c r="AR1596" s="103"/>
      <c r="AS1596" s="103"/>
      <c r="AT1596" s="103"/>
      <c r="AU1596" s="103"/>
      <c r="AV1596" s="103"/>
      <c r="AW1596" s="104" t="str">
        <f>HYPERLINK("http://www.openstreetmap.org/?mlat=36.4429&amp;mlon=41.7997&amp;zoom=12#map=12/36.4429/41.7997","Maplink1")</f>
        <v>Maplink1</v>
      </c>
      <c r="AX1596" s="104" t="str">
        <f>HYPERLINK("https://www.google.iq/maps/search/+36.4429,41.7997/@36.4429,41.7997,14z?hl=en","Maplink2")</f>
        <v>Maplink2</v>
      </c>
      <c r="AY1596" s="104" t="str">
        <f>HYPERLINK("http://www.bing.com/maps/?lvl=14&amp;sty=h&amp;cp=36.4429~41.7997&amp;sp=point.36.4429_41.7997","Maplink3")</f>
        <v>Maplink3</v>
      </c>
    </row>
    <row r="1597" spans="1:51" x14ac:dyDescent="0.2">
      <c r="A1597" s="102">
        <v>27363</v>
      </c>
      <c r="B1597" s="103" t="s">
        <v>35</v>
      </c>
      <c r="C1597" s="103" t="s">
        <v>103</v>
      </c>
      <c r="D1597" s="103" t="s">
        <v>3041</v>
      </c>
      <c r="E1597" s="103" t="s">
        <v>3042</v>
      </c>
      <c r="F1597" s="103">
        <v>36.417222752699999</v>
      </c>
      <c r="G1597" s="103">
        <v>41.884285228099998</v>
      </c>
      <c r="H1597" s="102">
        <v>54</v>
      </c>
      <c r="I1597" s="102">
        <v>324</v>
      </c>
      <c r="J1597" s="103"/>
      <c r="K1597" s="103"/>
      <c r="L1597" s="103"/>
      <c r="M1597" s="103">
        <v>45</v>
      </c>
      <c r="N1597" s="103"/>
      <c r="O1597" s="103">
        <v>5</v>
      </c>
      <c r="P1597" s="103">
        <v>4</v>
      </c>
      <c r="Q1597" s="103"/>
      <c r="R1597" s="103"/>
      <c r="S1597" s="103"/>
      <c r="T1597" s="103"/>
      <c r="U1597" s="103"/>
      <c r="V1597" s="103"/>
      <c r="W1597" s="103"/>
      <c r="X1597" s="103"/>
      <c r="Y1597" s="103">
        <v>50</v>
      </c>
      <c r="Z1597" s="103"/>
      <c r="AA1597" s="103"/>
      <c r="AB1597" s="103"/>
      <c r="AC1597" s="103"/>
      <c r="AD1597" s="103"/>
      <c r="AE1597" s="103"/>
      <c r="AF1597" s="103"/>
      <c r="AG1597" s="103">
        <v>4</v>
      </c>
      <c r="AH1597" s="103"/>
      <c r="AI1597" s="103"/>
      <c r="AJ1597" s="103"/>
      <c r="AK1597" s="103"/>
      <c r="AL1597" s="103"/>
      <c r="AM1597" s="103"/>
      <c r="AN1597" s="103"/>
      <c r="AO1597" s="103">
        <v>54</v>
      </c>
      <c r="AP1597" s="103"/>
      <c r="AQ1597" s="103"/>
      <c r="AR1597" s="103"/>
      <c r="AS1597" s="103"/>
      <c r="AT1597" s="103"/>
      <c r="AU1597" s="103"/>
      <c r="AV1597" s="103"/>
      <c r="AW1597" s="104" t="str">
        <f>HYPERLINK("http://www.openstreetmap.org/?mlat=36.4172&amp;mlon=41.8843&amp;zoom=12#map=12/36.4172/41.8843","Maplink1")</f>
        <v>Maplink1</v>
      </c>
      <c r="AX1597" s="104" t="str">
        <f>HYPERLINK("https://www.google.iq/maps/search/+36.4172,41.8843/@36.4172,41.8843,14z?hl=en","Maplink2")</f>
        <v>Maplink2</v>
      </c>
      <c r="AY1597" s="104" t="str">
        <f>HYPERLINK("http://www.bing.com/maps/?lvl=14&amp;sty=h&amp;cp=36.4172~41.8843&amp;sp=point.36.4172_41.8843","Maplink3")</f>
        <v>Maplink3</v>
      </c>
    </row>
    <row r="1598" spans="1:51" x14ac:dyDescent="0.2">
      <c r="A1598" s="102">
        <v>33485</v>
      </c>
      <c r="B1598" s="103" t="s">
        <v>35</v>
      </c>
      <c r="C1598" s="103" t="s">
        <v>103</v>
      </c>
      <c r="D1598" s="103" t="s">
        <v>3043</v>
      </c>
      <c r="E1598" s="103" t="s">
        <v>3044</v>
      </c>
      <c r="F1598" s="103">
        <v>36.214246000000003</v>
      </c>
      <c r="G1598" s="103">
        <v>42.160908999999997</v>
      </c>
      <c r="H1598" s="102">
        <v>26</v>
      </c>
      <c r="I1598" s="102">
        <v>156</v>
      </c>
      <c r="J1598" s="103"/>
      <c r="K1598" s="103"/>
      <c r="L1598" s="103"/>
      <c r="M1598" s="103">
        <v>26</v>
      </c>
      <c r="N1598" s="103"/>
      <c r="O1598" s="103"/>
      <c r="P1598" s="103"/>
      <c r="Q1598" s="103"/>
      <c r="R1598" s="103"/>
      <c r="S1598" s="103"/>
      <c r="T1598" s="103"/>
      <c r="U1598" s="103"/>
      <c r="V1598" s="103"/>
      <c r="W1598" s="103"/>
      <c r="X1598" s="103"/>
      <c r="Y1598" s="103"/>
      <c r="Z1598" s="103"/>
      <c r="AA1598" s="103"/>
      <c r="AB1598" s="103"/>
      <c r="AC1598" s="103"/>
      <c r="AD1598" s="103"/>
      <c r="AE1598" s="103"/>
      <c r="AF1598" s="103"/>
      <c r="AG1598" s="103">
        <v>26</v>
      </c>
      <c r="AH1598" s="103"/>
      <c r="AI1598" s="103"/>
      <c r="AJ1598" s="103"/>
      <c r="AK1598" s="103"/>
      <c r="AL1598" s="103"/>
      <c r="AM1598" s="103"/>
      <c r="AN1598" s="103"/>
      <c r="AO1598" s="103"/>
      <c r="AP1598" s="103"/>
      <c r="AQ1598" s="103"/>
      <c r="AR1598" s="103"/>
      <c r="AS1598" s="103">
        <v>26</v>
      </c>
      <c r="AT1598" s="103"/>
      <c r="AU1598" s="103"/>
      <c r="AV1598" s="103"/>
      <c r="AW1598" s="104" t="str">
        <f>HYPERLINK("http://www.openstreetmap.org/?mlat=36.2142&amp;mlon=42.1609&amp;zoom=12#map=12/36.2142/42.1609","Maplink1")</f>
        <v>Maplink1</v>
      </c>
      <c r="AX1598" s="104" t="str">
        <f>HYPERLINK("https://www.google.iq/maps/search/+36.2142,42.1609/@36.2142,42.1609,14z?hl=en","Maplink2")</f>
        <v>Maplink2</v>
      </c>
      <c r="AY1598" s="104" t="str">
        <f>HYPERLINK("http://www.bing.com/maps/?lvl=14&amp;sty=h&amp;cp=36.2142~42.1609&amp;sp=point.36.2142_42.1609","Maplink3")</f>
        <v>Maplink3</v>
      </c>
    </row>
    <row r="1599" spans="1:51" x14ac:dyDescent="0.2">
      <c r="A1599" s="102">
        <v>33652</v>
      </c>
      <c r="B1599" s="103" t="s">
        <v>35</v>
      </c>
      <c r="C1599" s="103" t="s">
        <v>103</v>
      </c>
      <c r="D1599" s="103" t="s">
        <v>3045</v>
      </c>
      <c r="E1599" s="103" t="s">
        <v>3046</v>
      </c>
      <c r="F1599" s="103">
        <v>36.297322299999998</v>
      </c>
      <c r="G1599" s="103">
        <v>41.872471500000003</v>
      </c>
      <c r="H1599" s="102">
        <v>33</v>
      </c>
      <c r="I1599" s="102">
        <v>198</v>
      </c>
      <c r="J1599" s="103"/>
      <c r="K1599" s="103"/>
      <c r="L1599" s="103"/>
      <c r="M1599" s="103">
        <v>33</v>
      </c>
      <c r="N1599" s="103"/>
      <c r="O1599" s="103"/>
      <c r="P1599" s="103"/>
      <c r="Q1599" s="103"/>
      <c r="R1599" s="103"/>
      <c r="S1599" s="103"/>
      <c r="T1599" s="103"/>
      <c r="U1599" s="103"/>
      <c r="V1599" s="103"/>
      <c r="W1599" s="103"/>
      <c r="X1599" s="103"/>
      <c r="Y1599" s="103">
        <v>33</v>
      </c>
      <c r="Z1599" s="103"/>
      <c r="AA1599" s="103"/>
      <c r="AB1599" s="103"/>
      <c r="AC1599" s="103"/>
      <c r="AD1599" s="103"/>
      <c r="AE1599" s="103"/>
      <c r="AF1599" s="103"/>
      <c r="AG1599" s="103"/>
      <c r="AH1599" s="103"/>
      <c r="AI1599" s="103"/>
      <c r="AJ1599" s="103"/>
      <c r="AK1599" s="103"/>
      <c r="AL1599" s="103"/>
      <c r="AM1599" s="103"/>
      <c r="AN1599" s="103"/>
      <c r="AO1599" s="103">
        <v>33</v>
      </c>
      <c r="AP1599" s="103"/>
      <c r="AQ1599" s="103"/>
      <c r="AR1599" s="103"/>
      <c r="AS1599" s="103"/>
      <c r="AT1599" s="103"/>
      <c r="AU1599" s="103"/>
      <c r="AV1599" s="103"/>
      <c r="AW1599" s="104" t="str">
        <f>HYPERLINK("http://www.openstreetmap.org/?mlat=36.2973&amp;mlon=41.8725&amp;zoom=12#map=12/36.2973/41.8725","Maplink1")</f>
        <v>Maplink1</v>
      </c>
      <c r="AX1599" s="104" t="str">
        <f>HYPERLINK("https://www.google.iq/maps/search/+36.2973,41.8725/@36.2973,41.8725,14z?hl=en","Maplink2")</f>
        <v>Maplink2</v>
      </c>
      <c r="AY1599" s="104" t="str">
        <f>HYPERLINK("http://www.bing.com/maps/?lvl=14&amp;sty=h&amp;cp=36.2973~41.8725&amp;sp=point.36.2973_41.8725","Maplink3")</f>
        <v>Maplink3</v>
      </c>
    </row>
    <row r="1600" spans="1:51" x14ac:dyDescent="0.2">
      <c r="A1600" s="102">
        <v>27288</v>
      </c>
      <c r="B1600" s="103" t="s">
        <v>35</v>
      </c>
      <c r="C1600" s="103" t="s">
        <v>103</v>
      </c>
      <c r="D1600" s="103" t="s">
        <v>2982</v>
      </c>
      <c r="E1600" s="103" t="s">
        <v>2983</v>
      </c>
      <c r="F1600" s="103">
        <v>36.377164634400003</v>
      </c>
      <c r="G1600" s="103">
        <v>41.687696773299997</v>
      </c>
      <c r="H1600" s="102">
        <v>123</v>
      </c>
      <c r="I1600" s="102">
        <v>738</v>
      </c>
      <c r="J1600" s="103"/>
      <c r="K1600" s="103"/>
      <c r="L1600" s="103"/>
      <c r="M1600" s="103">
        <v>123</v>
      </c>
      <c r="N1600" s="103"/>
      <c r="O1600" s="103"/>
      <c r="P1600" s="103"/>
      <c r="Q1600" s="103"/>
      <c r="R1600" s="103"/>
      <c r="S1600" s="103"/>
      <c r="T1600" s="103"/>
      <c r="U1600" s="103"/>
      <c r="V1600" s="103"/>
      <c r="W1600" s="103"/>
      <c r="X1600" s="103"/>
      <c r="Y1600" s="103">
        <v>122</v>
      </c>
      <c r="Z1600" s="103"/>
      <c r="AA1600" s="103"/>
      <c r="AB1600" s="103"/>
      <c r="AC1600" s="103"/>
      <c r="AD1600" s="103"/>
      <c r="AE1600" s="103"/>
      <c r="AF1600" s="103"/>
      <c r="AG1600" s="103">
        <v>1</v>
      </c>
      <c r="AH1600" s="103"/>
      <c r="AI1600" s="103"/>
      <c r="AJ1600" s="103"/>
      <c r="AK1600" s="103"/>
      <c r="AL1600" s="103"/>
      <c r="AM1600" s="103"/>
      <c r="AN1600" s="103"/>
      <c r="AO1600" s="103">
        <v>123</v>
      </c>
      <c r="AP1600" s="103"/>
      <c r="AQ1600" s="103"/>
      <c r="AR1600" s="103"/>
      <c r="AS1600" s="103"/>
      <c r="AT1600" s="103"/>
      <c r="AU1600" s="103"/>
      <c r="AV1600" s="103"/>
      <c r="AW1600" s="104" t="str">
        <f>HYPERLINK("http://www.openstreetmap.org/?mlat=36.3772&amp;mlon=41.6877&amp;zoom=12#map=12/36.3772/41.6877","Maplink1")</f>
        <v>Maplink1</v>
      </c>
      <c r="AX1600" s="104" t="str">
        <f>HYPERLINK("https://www.google.iq/maps/search/+36.3772,41.6877/@36.3772,41.6877,14z?hl=en","Maplink2")</f>
        <v>Maplink2</v>
      </c>
      <c r="AY1600" s="104" t="str">
        <f>HYPERLINK("http://www.bing.com/maps/?lvl=14&amp;sty=h&amp;cp=36.3772~41.6877&amp;sp=point.36.3772_41.6877","Maplink3")</f>
        <v>Maplink3</v>
      </c>
    </row>
    <row r="1601" spans="1:51" x14ac:dyDescent="0.2">
      <c r="A1601" s="102">
        <v>17928</v>
      </c>
      <c r="B1601" s="103" t="s">
        <v>35</v>
      </c>
      <c r="C1601" s="103" t="s">
        <v>103</v>
      </c>
      <c r="D1601" s="103" t="s">
        <v>3047</v>
      </c>
      <c r="E1601" s="103" t="s">
        <v>3048</v>
      </c>
      <c r="F1601" s="103">
        <v>36.465939840499999</v>
      </c>
      <c r="G1601" s="103">
        <v>41.713385327300003</v>
      </c>
      <c r="H1601" s="102">
        <v>1021</v>
      </c>
      <c r="I1601" s="102">
        <v>6126</v>
      </c>
      <c r="J1601" s="103"/>
      <c r="K1601" s="103"/>
      <c r="L1601" s="103"/>
      <c r="M1601" s="103">
        <v>1021</v>
      </c>
      <c r="N1601" s="103"/>
      <c r="O1601" s="103"/>
      <c r="P1601" s="103"/>
      <c r="Q1601" s="103"/>
      <c r="R1601" s="103"/>
      <c r="S1601" s="103"/>
      <c r="T1601" s="103"/>
      <c r="U1601" s="103"/>
      <c r="V1601" s="103"/>
      <c r="W1601" s="103"/>
      <c r="X1601" s="103"/>
      <c r="Y1601" s="103">
        <v>869</v>
      </c>
      <c r="Z1601" s="103"/>
      <c r="AA1601" s="103"/>
      <c r="AB1601" s="103"/>
      <c r="AC1601" s="103"/>
      <c r="AD1601" s="103"/>
      <c r="AE1601" s="103"/>
      <c r="AF1601" s="103"/>
      <c r="AG1601" s="103">
        <v>152</v>
      </c>
      <c r="AH1601" s="103"/>
      <c r="AI1601" s="103"/>
      <c r="AJ1601" s="103"/>
      <c r="AK1601" s="103"/>
      <c r="AL1601" s="103"/>
      <c r="AM1601" s="103"/>
      <c r="AN1601" s="103"/>
      <c r="AO1601" s="103">
        <v>1021</v>
      </c>
      <c r="AP1601" s="103"/>
      <c r="AQ1601" s="103"/>
      <c r="AR1601" s="103"/>
      <c r="AS1601" s="103"/>
      <c r="AT1601" s="103"/>
      <c r="AU1601" s="103"/>
      <c r="AV1601" s="103"/>
      <c r="AW1601" s="104" t="str">
        <f>HYPERLINK("http://www.openstreetmap.org/?mlat=36.4659&amp;mlon=41.7134&amp;zoom=12#map=12/36.4659/41.7134","Maplink1")</f>
        <v>Maplink1</v>
      </c>
      <c r="AX1601" s="104" t="str">
        <f>HYPERLINK("https://www.google.iq/maps/search/+36.4659,41.7134/@36.4659,41.7134,14z?hl=en","Maplink2")</f>
        <v>Maplink2</v>
      </c>
      <c r="AY1601" s="104" t="str">
        <f>HYPERLINK("http://www.bing.com/maps/?lvl=14&amp;sty=h&amp;cp=36.4659~41.7134&amp;sp=point.36.4659_41.7134","Maplink3")</f>
        <v>Maplink3</v>
      </c>
    </row>
    <row r="1602" spans="1:51" x14ac:dyDescent="0.2">
      <c r="A1602" s="102">
        <v>17694</v>
      </c>
      <c r="B1602" s="103" t="s">
        <v>35</v>
      </c>
      <c r="C1602" s="103" t="s">
        <v>103</v>
      </c>
      <c r="D1602" s="103" t="s">
        <v>3049</v>
      </c>
      <c r="E1602" s="103" t="s">
        <v>3050</v>
      </c>
      <c r="F1602" s="103">
        <v>36.453664677200003</v>
      </c>
      <c r="G1602" s="103">
        <v>41.758255044099997</v>
      </c>
      <c r="H1602" s="102">
        <v>30</v>
      </c>
      <c r="I1602" s="102">
        <v>180</v>
      </c>
      <c r="J1602" s="103"/>
      <c r="K1602" s="103"/>
      <c r="L1602" s="103"/>
      <c r="M1602" s="103">
        <v>30</v>
      </c>
      <c r="N1602" s="103"/>
      <c r="O1602" s="103"/>
      <c r="P1602" s="103"/>
      <c r="Q1602" s="103"/>
      <c r="R1602" s="103"/>
      <c r="S1602" s="103"/>
      <c r="T1602" s="103"/>
      <c r="U1602" s="103"/>
      <c r="V1602" s="103"/>
      <c r="W1602" s="103"/>
      <c r="X1602" s="103"/>
      <c r="Y1602" s="103">
        <v>30</v>
      </c>
      <c r="Z1602" s="103"/>
      <c r="AA1602" s="103"/>
      <c r="AB1602" s="103"/>
      <c r="AC1602" s="103"/>
      <c r="AD1602" s="103"/>
      <c r="AE1602" s="103"/>
      <c r="AF1602" s="103"/>
      <c r="AG1602" s="103"/>
      <c r="AH1602" s="103"/>
      <c r="AI1602" s="103"/>
      <c r="AJ1602" s="103"/>
      <c r="AK1602" s="103"/>
      <c r="AL1602" s="103"/>
      <c r="AM1602" s="103"/>
      <c r="AN1602" s="103"/>
      <c r="AO1602" s="103">
        <v>30</v>
      </c>
      <c r="AP1602" s="103"/>
      <c r="AQ1602" s="103"/>
      <c r="AR1602" s="103"/>
      <c r="AS1602" s="103"/>
      <c r="AT1602" s="103"/>
      <c r="AU1602" s="103"/>
      <c r="AV1602" s="103"/>
      <c r="AW1602" s="104" t="str">
        <f>HYPERLINK("http://www.openstreetmap.org/?mlat=36.4537&amp;mlon=41.7583&amp;zoom=12#map=12/36.4537/41.7583","Maplink1")</f>
        <v>Maplink1</v>
      </c>
      <c r="AX1602" s="104" t="str">
        <f>HYPERLINK("https://www.google.iq/maps/search/+36.4537,41.7583/@36.4537,41.7583,14z?hl=en","Maplink2")</f>
        <v>Maplink2</v>
      </c>
      <c r="AY1602" s="104" t="str">
        <f>HYPERLINK("http://www.bing.com/maps/?lvl=14&amp;sty=h&amp;cp=36.4537~41.7583&amp;sp=point.36.4537_41.7583","Maplink3")</f>
        <v>Maplink3</v>
      </c>
    </row>
    <row r="1603" spans="1:51" x14ac:dyDescent="0.2">
      <c r="A1603" s="102">
        <v>33486</v>
      </c>
      <c r="B1603" s="103" t="s">
        <v>35</v>
      </c>
      <c r="C1603" s="103" t="s">
        <v>103</v>
      </c>
      <c r="D1603" s="103" t="s">
        <v>3051</v>
      </c>
      <c r="E1603" s="103" t="s">
        <v>3052</v>
      </c>
      <c r="F1603" s="103">
        <v>36.193078999999997</v>
      </c>
      <c r="G1603" s="103">
        <v>42.057657499999998</v>
      </c>
      <c r="H1603" s="102">
        <v>80</v>
      </c>
      <c r="I1603" s="102">
        <v>480</v>
      </c>
      <c r="J1603" s="103">
        <v>4</v>
      </c>
      <c r="K1603" s="103"/>
      <c r="L1603" s="103"/>
      <c r="M1603" s="103">
        <v>76</v>
      </c>
      <c r="N1603" s="103"/>
      <c r="O1603" s="103"/>
      <c r="P1603" s="103"/>
      <c r="Q1603" s="103"/>
      <c r="R1603" s="103"/>
      <c r="S1603" s="103"/>
      <c r="T1603" s="103"/>
      <c r="U1603" s="103"/>
      <c r="V1603" s="103"/>
      <c r="W1603" s="103"/>
      <c r="X1603" s="103"/>
      <c r="Y1603" s="103"/>
      <c r="Z1603" s="103"/>
      <c r="AA1603" s="103"/>
      <c r="AB1603" s="103"/>
      <c r="AC1603" s="103"/>
      <c r="AD1603" s="103"/>
      <c r="AE1603" s="103"/>
      <c r="AF1603" s="103"/>
      <c r="AG1603" s="103">
        <v>80</v>
      </c>
      <c r="AH1603" s="103"/>
      <c r="AI1603" s="103"/>
      <c r="AJ1603" s="103"/>
      <c r="AK1603" s="103"/>
      <c r="AL1603" s="103"/>
      <c r="AM1603" s="103"/>
      <c r="AN1603" s="103"/>
      <c r="AO1603" s="103"/>
      <c r="AP1603" s="103"/>
      <c r="AQ1603" s="103"/>
      <c r="AR1603" s="103"/>
      <c r="AS1603" s="103">
        <v>80</v>
      </c>
      <c r="AT1603" s="103"/>
      <c r="AU1603" s="103"/>
      <c r="AV1603" s="103"/>
      <c r="AW1603" s="104" t="str">
        <f>HYPERLINK("http://www.openstreetmap.org/?mlat=36.1931&amp;mlon=42.0577&amp;zoom=12#map=12/36.1931/42.0577","Maplink1")</f>
        <v>Maplink1</v>
      </c>
      <c r="AX1603" s="104" t="str">
        <f>HYPERLINK("https://www.google.iq/maps/search/+36.1931,42.0577/@36.1931,42.0577,14z?hl=en","Maplink2")</f>
        <v>Maplink2</v>
      </c>
      <c r="AY1603" s="104" t="str">
        <f>HYPERLINK("http://www.bing.com/maps/?lvl=14&amp;sty=h&amp;cp=36.1931~42.0577&amp;sp=point.36.1931_42.0577","Maplink3")</f>
        <v>Maplink3</v>
      </c>
    </row>
    <row r="1604" spans="1:51" x14ac:dyDescent="0.2">
      <c r="A1604" s="102">
        <v>34045</v>
      </c>
      <c r="B1604" s="103" t="s">
        <v>35</v>
      </c>
      <c r="C1604" s="103" t="s">
        <v>103</v>
      </c>
      <c r="D1604" s="103" t="s">
        <v>3092</v>
      </c>
      <c r="E1604" s="103" t="s">
        <v>2504</v>
      </c>
      <c r="F1604" s="103">
        <v>36.154725999999997</v>
      </c>
      <c r="G1604" s="103">
        <v>42.025655999999998</v>
      </c>
      <c r="H1604" s="102">
        <v>30</v>
      </c>
      <c r="I1604" s="102">
        <v>180</v>
      </c>
      <c r="J1604" s="103"/>
      <c r="K1604" s="103"/>
      <c r="L1604" s="103"/>
      <c r="M1604" s="103">
        <v>30</v>
      </c>
      <c r="N1604" s="103"/>
      <c r="O1604" s="103"/>
      <c r="P1604" s="103"/>
      <c r="Q1604" s="103"/>
      <c r="R1604" s="103"/>
      <c r="S1604" s="103"/>
      <c r="T1604" s="103"/>
      <c r="U1604" s="103"/>
      <c r="V1604" s="103"/>
      <c r="W1604" s="103"/>
      <c r="X1604" s="103"/>
      <c r="Y1604" s="103"/>
      <c r="Z1604" s="103"/>
      <c r="AA1604" s="103"/>
      <c r="AB1604" s="103"/>
      <c r="AC1604" s="103"/>
      <c r="AD1604" s="103"/>
      <c r="AE1604" s="103"/>
      <c r="AF1604" s="103"/>
      <c r="AG1604" s="103">
        <v>30</v>
      </c>
      <c r="AH1604" s="103"/>
      <c r="AI1604" s="103"/>
      <c r="AJ1604" s="103"/>
      <c r="AK1604" s="103"/>
      <c r="AL1604" s="103"/>
      <c r="AM1604" s="103"/>
      <c r="AN1604" s="103"/>
      <c r="AO1604" s="103"/>
      <c r="AP1604" s="103"/>
      <c r="AQ1604" s="103"/>
      <c r="AR1604" s="103"/>
      <c r="AS1604" s="103">
        <v>30</v>
      </c>
      <c r="AT1604" s="103"/>
      <c r="AU1604" s="103"/>
      <c r="AV1604" s="103"/>
      <c r="AW1604" s="104" t="str">
        <f>HYPERLINK("http://www.openstreetmap.org/?mlat=36.1547&amp;mlon=42.0257&amp;zoom=12#map=12/36.1547/42.0257","Maplink1")</f>
        <v>Maplink1</v>
      </c>
      <c r="AX1604" s="104" t="str">
        <f>HYPERLINK("https://www.google.iq/maps/search/+36.1547,42.0257/@36.1547,42.0257,14z?hl=en","Maplink2")</f>
        <v>Maplink2</v>
      </c>
      <c r="AY1604" s="104" t="str">
        <f>HYPERLINK("http://www.bing.com/maps/?lvl=14&amp;sty=h&amp;cp=36.1547~42.0257&amp;sp=point.36.1547_42.0257","Maplink3")</f>
        <v>Maplink3</v>
      </c>
    </row>
    <row r="1605" spans="1:51" x14ac:dyDescent="0.2">
      <c r="A1605" s="102">
        <v>27359</v>
      </c>
      <c r="B1605" s="103" t="s">
        <v>35</v>
      </c>
      <c r="C1605" s="103" t="s">
        <v>103</v>
      </c>
      <c r="D1605" s="103" t="s">
        <v>3053</v>
      </c>
      <c r="E1605" s="103" t="s">
        <v>3054</v>
      </c>
      <c r="F1605" s="103">
        <v>36.371488765499997</v>
      </c>
      <c r="G1605" s="103">
        <v>41.712652812599998</v>
      </c>
      <c r="H1605" s="102">
        <v>44</v>
      </c>
      <c r="I1605" s="102">
        <v>264</v>
      </c>
      <c r="J1605" s="103"/>
      <c r="K1605" s="103"/>
      <c r="L1605" s="103"/>
      <c r="M1605" s="103">
        <v>44</v>
      </c>
      <c r="N1605" s="103"/>
      <c r="O1605" s="103"/>
      <c r="P1605" s="103"/>
      <c r="Q1605" s="103"/>
      <c r="R1605" s="103"/>
      <c r="S1605" s="103"/>
      <c r="T1605" s="103"/>
      <c r="U1605" s="103"/>
      <c r="V1605" s="103"/>
      <c r="W1605" s="103"/>
      <c r="X1605" s="103"/>
      <c r="Y1605" s="103">
        <v>44</v>
      </c>
      <c r="Z1605" s="103"/>
      <c r="AA1605" s="103"/>
      <c r="AB1605" s="103"/>
      <c r="AC1605" s="103"/>
      <c r="AD1605" s="103"/>
      <c r="AE1605" s="103"/>
      <c r="AF1605" s="103"/>
      <c r="AG1605" s="103"/>
      <c r="AH1605" s="103"/>
      <c r="AI1605" s="103"/>
      <c r="AJ1605" s="103"/>
      <c r="AK1605" s="103"/>
      <c r="AL1605" s="103"/>
      <c r="AM1605" s="103"/>
      <c r="AN1605" s="103"/>
      <c r="AO1605" s="103">
        <v>44</v>
      </c>
      <c r="AP1605" s="103"/>
      <c r="AQ1605" s="103"/>
      <c r="AR1605" s="103"/>
      <c r="AS1605" s="103"/>
      <c r="AT1605" s="103"/>
      <c r="AU1605" s="103"/>
      <c r="AV1605" s="103"/>
      <c r="AW1605" s="104" t="str">
        <f>HYPERLINK("http://www.openstreetmap.org/?mlat=36.3715&amp;mlon=41.7127&amp;zoom=12#map=12/36.3715/41.7127","Maplink1")</f>
        <v>Maplink1</v>
      </c>
      <c r="AX1605" s="104" t="str">
        <f>HYPERLINK("https://www.google.iq/maps/search/+36.3715,41.7127/@36.3715,41.7127,14z?hl=en","Maplink2")</f>
        <v>Maplink2</v>
      </c>
      <c r="AY1605" s="104" t="str">
        <f>HYPERLINK("http://www.bing.com/maps/?lvl=14&amp;sty=h&amp;cp=36.3715~41.7127&amp;sp=point.36.3715_41.7127","Maplink3")</f>
        <v>Maplink3</v>
      </c>
    </row>
    <row r="1606" spans="1:51" x14ac:dyDescent="0.2">
      <c r="A1606" s="102">
        <v>18016</v>
      </c>
      <c r="B1606" s="103" t="s">
        <v>35</v>
      </c>
      <c r="C1606" s="103" t="s">
        <v>103</v>
      </c>
      <c r="D1606" s="103" t="s">
        <v>3055</v>
      </c>
      <c r="E1606" s="103" t="s">
        <v>3056</v>
      </c>
      <c r="F1606" s="103">
        <v>36.403599999999997</v>
      </c>
      <c r="G1606" s="103">
        <v>42.129023448600002</v>
      </c>
      <c r="H1606" s="102">
        <v>354</v>
      </c>
      <c r="I1606" s="102">
        <v>2124</v>
      </c>
      <c r="J1606" s="103"/>
      <c r="K1606" s="103"/>
      <c r="L1606" s="103"/>
      <c r="M1606" s="103">
        <v>204</v>
      </c>
      <c r="N1606" s="103">
        <v>150</v>
      </c>
      <c r="O1606" s="103"/>
      <c r="P1606" s="103"/>
      <c r="Q1606" s="103"/>
      <c r="R1606" s="103"/>
      <c r="S1606" s="103"/>
      <c r="T1606" s="103"/>
      <c r="U1606" s="103"/>
      <c r="V1606" s="103"/>
      <c r="W1606" s="103"/>
      <c r="X1606" s="103"/>
      <c r="Y1606" s="103">
        <v>10</v>
      </c>
      <c r="Z1606" s="103"/>
      <c r="AA1606" s="103"/>
      <c r="AB1606" s="103"/>
      <c r="AC1606" s="103"/>
      <c r="AD1606" s="103"/>
      <c r="AE1606" s="103"/>
      <c r="AF1606" s="103"/>
      <c r="AG1606" s="103">
        <v>344</v>
      </c>
      <c r="AH1606" s="103"/>
      <c r="AI1606" s="103"/>
      <c r="AJ1606" s="103"/>
      <c r="AK1606" s="103"/>
      <c r="AL1606" s="103"/>
      <c r="AM1606" s="103"/>
      <c r="AN1606" s="103"/>
      <c r="AO1606" s="103"/>
      <c r="AP1606" s="103"/>
      <c r="AQ1606" s="103">
        <v>354</v>
      </c>
      <c r="AR1606" s="103"/>
      <c r="AS1606" s="103"/>
      <c r="AT1606" s="103"/>
      <c r="AU1606" s="103"/>
      <c r="AV1606" s="103"/>
      <c r="AW1606" s="104" t="str">
        <f>HYPERLINK("http://www.openstreetmap.org/?mlat=36.4036&amp;mlon=42.129&amp;zoom=12#map=12/36.4036/42.129","Maplink1")</f>
        <v>Maplink1</v>
      </c>
      <c r="AX1606" s="104" t="str">
        <f>HYPERLINK("https://www.google.iq/maps/search/+36.4036,42.129/@36.4036,42.129,14z?hl=en","Maplink2")</f>
        <v>Maplink2</v>
      </c>
      <c r="AY1606" s="104" t="str">
        <f>HYPERLINK("http://www.bing.com/maps/?lvl=14&amp;sty=h&amp;cp=36.4036~42.129&amp;sp=point.36.4036_42.129","Maplink3")</f>
        <v>Maplink3</v>
      </c>
    </row>
    <row r="1607" spans="1:51" x14ac:dyDescent="0.2">
      <c r="A1607" s="102">
        <v>34049</v>
      </c>
      <c r="B1607" s="103" t="s">
        <v>35</v>
      </c>
      <c r="C1607" s="103" t="s">
        <v>103</v>
      </c>
      <c r="D1607" s="103" t="s">
        <v>3057</v>
      </c>
      <c r="E1607" s="103" t="s">
        <v>256</v>
      </c>
      <c r="F1607" s="103">
        <v>36.157389000000002</v>
      </c>
      <c r="G1607" s="103">
        <v>42.041370000000001</v>
      </c>
      <c r="H1607" s="102">
        <v>70</v>
      </c>
      <c r="I1607" s="102">
        <v>420</v>
      </c>
      <c r="J1607" s="103">
        <v>15</v>
      </c>
      <c r="K1607" s="103"/>
      <c r="L1607" s="103"/>
      <c r="M1607" s="103">
        <v>48</v>
      </c>
      <c r="N1607" s="103">
        <v>7</v>
      </c>
      <c r="O1607" s="103"/>
      <c r="P1607" s="103"/>
      <c r="Q1607" s="103"/>
      <c r="R1607" s="103"/>
      <c r="S1607" s="103"/>
      <c r="T1607" s="103"/>
      <c r="U1607" s="103"/>
      <c r="V1607" s="103"/>
      <c r="W1607" s="103"/>
      <c r="X1607" s="103"/>
      <c r="Y1607" s="103"/>
      <c r="Z1607" s="103"/>
      <c r="AA1607" s="103"/>
      <c r="AB1607" s="103"/>
      <c r="AC1607" s="103"/>
      <c r="AD1607" s="103"/>
      <c r="AE1607" s="103"/>
      <c r="AF1607" s="103"/>
      <c r="AG1607" s="103">
        <v>70</v>
      </c>
      <c r="AH1607" s="103"/>
      <c r="AI1607" s="103"/>
      <c r="AJ1607" s="103"/>
      <c r="AK1607" s="103"/>
      <c r="AL1607" s="103"/>
      <c r="AM1607" s="103"/>
      <c r="AN1607" s="103"/>
      <c r="AO1607" s="103"/>
      <c r="AP1607" s="103"/>
      <c r="AQ1607" s="103"/>
      <c r="AR1607" s="103"/>
      <c r="AS1607" s="103">
        <v>70</v>
      </c>
      <c r="AT1607" s="103"/>
      <c r="AU1607" s="103"/>
      <c r="AV1607" s="103"/>
      <c r="AW1607" s="104" t="str">
        <f>HYPERLINK("http://www.openstreetmap.org/?mlat=36.1574&amp;mlon=42.0414&amp;zoom=12#map=12/36.1574/42.0414","Maplink1")</f>
        <v>Maplink1</v>
      </c>
      <c r="AX1607" s="104" t="str">
        <f>HYPERLINK("https://www.google.iq/maps/search/+36.1574,42.0414/@36.1574,42.0414,14z?hl=en","Maplink2")</f>
        <v>Maplink2</v>
      </c>
      <c r="AY1607" s="104" t="str">
        <f>HYPERLINK("http://www.bing.com/maps/?lvl=14&amp;sty=h&amp;cp=36.1574~42.0414&amp;sp=point.36.1574_42.0414","Maplink3")</f>
        <v>Maplink3</v>
      </c>
    </row>
    <row r="1608" spans="1:51" x14ac:dyDescent="0.2">
      <c r="A1608" s="102">
        <v>17617</v>
      </c>
      <c r="B1608" s="103" t="s">
        <v>35</v>
      </c>
      <c r="C1608" s="103" t="s">
        <v>104</v>
      </c>
      <c r="D1608" s="103" t="s">
        <v>3093</v>
      </c>
      <c r="E1608" s="103" t="s">
        <v>3094</v>
      </c>
      <c r="F1608" s="103">
        <v>36.553422820000002</v>
      </c>
      <c r="G1608" s="103">
        <v>42.511408243200002</v>
      </c>
      <c r="H1608" s="102">
        <v>900</v>
      </c>
      <c r="I1608" s="102">
        <v>5400</v>
      </c>
      <c r="J1608" s="103">
        <v>5</v>
      </c>
      <c r="K1608" s="103"/>
      <c r="L1608" s="103"/>
      <c r="M1608" s="103">
        <v>895</v>
      </c>
      <c r="N1608" s="103"/>
      <c r="O1608" s="103"/>
      <c r="P1608" s="103"/>
      <c r="Q1608" s="103"/>
      <c r="R1608" s="103"/>
      <c r="S1608" s="103"/>
      <c r="T1608" s="103"/>
      <c r="U1608" s="103"/>
      <c r="V1608" s="103"/>
      <c r="W1608" s="103"/>
      <c r="X1608" s="103"/>
      <c r="Y1608" s="103">
        <v>700</v>
      </c>
      <c r="Z1608" s="103"/>
      <c r="AA1608" s="103"/>
      <c r="AB1608" s="103"/>
      <c r="AC1608" s="103"/>
      <c r="AD1608" s="103"/>
      <c r="AE1608" s="103"/>
      <c r="AF1608" s="103"/>
      <c r="AG1608" s="103">
        <v>200</v>
      </c>
      <c r="AH1608" s="103"/>
      <c r="AI1608" s="103"/>
      <c r="AJ1608" s="103"/>
      <c r="AK1608" s="103"/>
      <c r="AL1608" s="103"/>
      <c r="AM1608" s="103"/>
      <c r="AN1608" s="103"/>
      <c r="AO1608" s="103">
        <v>890</v>
      </c>
      <c r="AP1608" s="103"/>
      <c r="AQ1608" s="103"/>
      <c r="AR1608" s="103"/>
      <c r="AS1608" s="103"/>
      <c r="AT1608" s="103">
        <v>10</v>
      </c>
      <c r="AU1608" s="103"/>
      <c r="AV1608" s="103"/>
      <c r="AW1608" s="104" t="str">
        <f>HYPERLINK("http://www.openstreetmap.org/?mlat=36.5534&amp;mlon=42.5114&amp;zoom=12#map=12/36.5534/42.5114","Maplink1")</f>
        <v>Maplink1</v>
      </c>
      <c r="AX1608" s="104" t="str">
        <f>HYPERLINK("https://www.google.iq/maps/search/+36.5534,42.5114/@36.5534,42.5114,14z?hl=en","Maplink2")</f>
        <v>Maplink2</v>
      </c>
      <c r="AY1608" s="104" t="str">
        <f>HYPERLINK("http://www.bing.com/maps/?lvl=14&amp;sty=h&amp;cp=36.5534~42.5114&amp;sp=point.36.5534_42.5114","Maplink3")</f>
        <v>Maplink3</v>
      </c>
    </row>
    <row r="1609" spans="1:51" x14ac:dyDescent="0.2">
      <c r="A1609" s="102">
        <v>28450</v>
      </c>
      <c r="B1609" s="103" t="s">
        <v>35</v>
      </c>
      <c r="C1609" s="103" t="s">
        <v>104</v>
      </c>
      <c r="D1609" s="103" t="s">
        <v>3095</v>
      </c>
      <c r="E1609" s="103" t="s">
        <v>3096</v>
      </c>
      <c r="F1609" s="103">
        <v>36.680931223100004</v>
      </c>
      <c r="G1609" s="103">
        <v>42.402196673500001</v>
      </c>
      <c r="H1609" s="102">
        <v>1606</v>
      </c>
      <c r="I1609" s="102">
        <v>9636</v>
      </c>
      <c r="J1609" s="103"/>
      <c r="K1609" s="103"/>
      <c r="L1609" s="103"/>
      <c r="M1609" s="103">
        <v>1586</v>
      </c>
      <c r="N1609" s="103">
        <v>20</v>
      </c>
      <c r="O1609" s="103"/>
      <c r="P1609" s="103"/>
      <c r="Q1609" s="103"/>
      <c r="R1609" s="103"/>
      <c r="S1609" s="103"/>
      <c r="T1609" s="103"/>
      <c r="U1609" s="103"/>
      <c r="V1609" s="103"/>
      <c r="W1609" s="103"/>
      <c r="X1609" s="103"/>
      <c r="Y1609" s="103"/>
      <c r="Z1609" s="103"/>
      <c r="AA1609" s="103"/>
      <c r="AB1609" s="103"/>
      <c r="AC1609" s="103"/>
      <c r="AD1609" s="103"/>
      <c r="AE1609" s="103"/>
      <c r="AF1609" s="103"/>
      <c r="AG1609" s="103">
        <v>1606</v>
      </c>
      <c r="AH1609" s="103"/>
      <c r="AI1609" s="103"/>
      <c r="AJ1609" s="103"/>
      <c r="AK1609" s="103"/>
      <c r="AL1609" s="103"/>
      <c r="AM1609" s="103"/>
      <c r="AN1609" s="103"/>
      <c r="AO1609" s="103">
        <v>1606</v>
      </c>
      <c r="AP1609" s="103"/>
      <c r="AQ1609" s="103"/>
      <c r="AR1609" s="103"/>
      <c r="AS1609" s="103"/>
      <c r="AT1609" s="103"/>
      <c r="AU1609" s="103"/>
      <c r="AV1609" s="103"/>
      <c r="AW1609" s="104" t="str">
        <f>HYPERLINK("http://www.openstreetmap.org/?mlat=36.6809&amp;mlon=42.4022&amp;zoom=12#map=12/36.6809/42.4022","Maplink1")</f>
        <v>Maplink1</v>
      </c>
      <c r="AX1609" s="104" t="str">
        <f>HYPERLINK("https://www.google.iq/maps/search/+36.6809,42.4022/@36.6809,42.4022,14z?hl=en","Maplink2")</f>
        <v>Maplink2</v>
      </c>
      <c r="AY1609" s="104" t="str">
        <f>HYPERLINK("http://www.bing.com/maps/?lvl=14&amp;sty=h&amp;cp=36.6809~42.4022&amp;sp=point.36.6809_42.4022","Maplink3")</f>
        <v>Maplink3</v>
      </c>
    </row>
    <row r="1610" spans="1:51" x14ac:dyDescent="0.2">
      <c r="A1610" s="102">
        <v>33399</v>
      </c>
      <c r="B1610" s="103" t="s">
        <v>35</v>
      </c>
      <c r="C1610" s="103" t="s">
        <v>104</v>
      </c>
      <c r="D1610" s="103" t="s">
        <v>3097</v>
      </c>
      <c r="E1610" s="103" t="s">
        <v>3098</v>
      </c>
      <c r="F1610" s="103">
        <v>36.644300000000001</v>
      </c>
      <c r="G1610" s="103">
        <v>42.4504370163</v>
      </c>
      <c r="H1610" s="102">
        <v>325</v>
      </c>
      <c r="I1610" s="102">
        <v>1950</v>
      </c>
      <c r="J1610" s="103"/>
      <c r="K1610" s="103"/>
      <c r="L1610" s="103"/>
      <c r="M1610" s="103">
        <v>325</v>
      </c>
      <c r="N1610" s="103"/>
      <c r="O1610" s="103"/>
      <c r="P1610" s="103"/>
      <c r="Q1610" s="103"/>
      <c r="R1610" s="103"/>
      <c r="S1610" s="103"/>
      <c r="T1610" s="103"/>
      <c r="U1610" s="103"/>
      <c r="V1610" s="103"/>
      <c r="W1610" s="103"/>
      <c r="X1610" s="103"/>
      <c r="Y1610" s="103"/>
      <c r="Z1610" s="103"/>
      <c r="AA1610" s="103"/>
      <c r="AB1610" s="103"/>
      <c r="AC1610" s="103"/>
      <c r="AD1610" s="103"/>
      <c r="AE1610" s="103"/>
      <c r="AF1610" s="103"/>
      <c r="AG1610" s="103">
        <v>325</v>
      </c>
      <c r="AH1610" s="103"/>
      <c r="AI1610" s="103"/>
      <c r="AJ1610" s="103"/>
      <c r="AK1610" s="103"/>
      <c r="AL1610" s="103"/>
      <c r="AM1610" s="103"/>
      <c r="AN1610" s="103"/>
      <c r="AO1610" s="103"/>
      <c r="AP1610" s="103">
        <v>325</v>
      </c>
      <c r="AQ1610" s="103"/>
      <c r="AR1610" s="103"/>
      <c r="AS1610" s="103"/>
      <c r="AT1610" s="103"/>
      <c r="AU1610" s="103"/>
      <c r="AV1610" s="103"/>
      <c r="AW1610" s="104" t="str">
        <f>HYPERLINK("http://www.openstreetmap.org/?mlat=36.6443&amp;mlon=42.4504&amp;zoom=12#map=12/36.6443/42.4504","Maplink1")</f>
        <v>Maplink1</v>
      </c>
      <c r="AX1610" s="104" t="str">
        <f>HYPERLINK("https://www.google.iq/maps/search/+36.6443,42.4504/@36.6443,42.4504,14z?hl=en","Maplink2")</f>
        <v>Maplink2</v>
      </c>
      <c r="AY1610" s="104" t="str">
        <f>HYPERLINK("http://www.bing.com/maps/?lvl=14&amp;sty=h&amp;cp=36.6443~42.4504&amp;sp=point.36.6443_42.4504","Maplink3")</f>
        <v>Maplink3</v>
      </c>
    </row>
    <row r="1611" spans="1:51" x14ac:dyDescent="0.2">
      <c r="A1611" s="102">
        <v>33418</v>
      </c>
      <c r="B1611" s="103" t="s">
        <v>35</v>
      </c>
      <c r="C1611" s="103" t="s">
        <v>104</v>
      </c>
      <c r="D1611" s="103" t="s">
        <v>3099</v>
      </c>
      <c r="E1611" s="103" t="s">
        <v>3100</v>
      </c>
      <c r="F1611" s="103">
        <v>36.489800000000002</v>
      </c>
      <c r="G1611" s="103">
        <v>42.593122938400001</v>
      </c>
      <c r="H1611" s="102">
        <v>160</v>
      </c>
      <c r="I1611" s="102">
        <v>960</v>
      </c>
      <c r="J1611" s="103"/>
      <c r="K1611" s="103"/>
      <c r="L1611" s="103"/>
      <c r="M1611" s="103">
        <v>160</v>
      </c>
      <c r="N1611" s="103"/>
      <c r="O1611" s="103"/>
      <c r="P1611" s="103"/>
      <c r="Q1611" s="103"/>
      <c r="R1611" s="103"/>
      <c r="S1611" s="103"/>
      <c r="T1611" s="103"/>
      <c r="U1611" s="103"/>
      <c r="V1611" s="103"/>
      <c r="W1611" s="103"/>
      <c r="X1611" s="103"/>
      <c r="Y1611" s="103"/>
      <c r="Z1611" s="103"/>
      <c r="AA1611" s="103"/>
      <c r="AB1611" s="103"/>
      <c r="AC1611" s="103"/>
      <c r="AD1611" s="103"/>
      <c r="AE1611" s="103"/>
      <c r="AF1611" s="103"/>
      <c r="AG1611" s="103">
        <v>160</v>
      </c>
      <c r="AH1611" s="103"/>
      <c r="AI1611" s="103"/>
      <c r="AJ1611" s="103"/>
      <c r="AK1611" s="103"/>
      <c r="AL1611" s="103"/>
      <c r="AM1611" s="103"/>
      <c r="AN1611" s="103"/>
      <c r="AO1611" s="103"/>
      <c r="AP1611" s="103">
        <v>160</v>
      </c>
      <c r="AQ1611" s="103"/>
      <c r="AR1611" s="103"/>
      <c r="AS1611" s="103"/>
      <c r="AT1611" s="103"/>
      <c r="AU1611" s="103"/>
      <c r="AV1611" s="103"/>
      <c r="AW1611" s="104" t="str">
        <f>HYPERLINK("http://www.openstreetmap.org/?mlat=36.4898&amp;mlon=42.5931&amp;zoom=12#map=12/36.4898/42.5931","Maplink1")</f>
        <v>Maplink1</v>
      </c>
      <c r="AX1611" s="104" t="str">
        <f>HYPERLINK("https://www.google.iq/maps/search/+36.4898,42.5931/@36.4898,42.5931,14z?hl=en","Maplink2")</f>
        <v>Maplink2</v>
      </c>
      <c r="AY1611" s="104" t="str">
        <f>HYPERLINK("http://www.bing.com/maps/?lvl=14&amp;sty=h&amp;cp=36.4898~42.5931&amp;sp=point.36.4898_42.5931","Maplink3")</f>
        <v>Maplink3</v>
      </c>
    </row>
    <row r="1612" spans="1:51" x14ac:dyDescent="0.2">
      <c r="A1612" s="102">
        <v>17486</v>
      </c>
      <c r="B1612" s="103" t="s">
        <v>35</v>
      </c>
      <c r="C1612" s="103" t="s">
        <v>104</v>
      </c>
      <c r="D1612" s="103" t="s">
        <v>3157</v>
      </c>
      <c r="E1612" s="103" t="s">
        <v>3158</v>
      </c>
      <c r="F1612" s="103">
        <v>36.426673700000002</v>
      </c>
      <c r="G1612" s="103">
        <v>42.6011278</v>
      </c>
      <c r="H1612" s="102">
        <v>1530</v>
      </c>
      <c r="I1612" s="102">
        <v>9180</v>
      </c>
      <c r="J1612" s="103"/>
      <c r="K1612" s="103"/>
      <c r="L1612" s="103"/>
      <c r="M1612" s="103">
        <v>1530</v>
      </c>
      <c r="N1612" s="103"/>
      <c r="O1612" s="103"/>
      <c r="P1612" s="103"/>
      <c r="Q1612" s="103"/>
      <c r="R1612" s="103"/>
      <c r="S1612" s="103"/>
      <c r="T1612" s="103"/>
      <c r="U1612" s="103"/>
      <c r="V1612" s="103"/>
      <c r="W1612" s="103"/>
      <c r="X1612" s="103"/>
      <c r="Y1612" s="103"/>
      <c r="Z1612" s="103"/>
      <c r="AA1612" s="103"/>
      <c r="AB1612" s="103"/>
      <c r="AC1612" s="103"/>
      <c r="AD1612" s="103"/>
      <c r="AE1612" s="103"/>
      <c r="AF1612" s="103"/>
      <c r="AG1612" s="103">
        <v>1530</v>
      </c>
      <c r="AH1612" s="103"/>
      <c r="AI1612" s="103"/>
      <c r="AJ1612" s="103"/>
      <c r="AK1612" s="103"/>
      <c r="AL1612" s="103"/>
      <c r="AM1612" s="103"/>
      <c r="AN1612" s="103"/>
      <c r="AO1612" s="103"/>
      <c r="AP1612" s="103"/>
      <c r="AQ1612" s="103"/>
      <c r="AR1612" s="103"/>
      <c r="AS1612" s="103"/>
      <c r="AT1612" s="103">
        <v>1530</v>
      </c>
      <c r="AU1612" s="103"/>
      <c r="AV1612" s="103"/>
      <c r="AW1612" s="104" t="str">
        <f>HYPERLINK("http://www.openstreetmap.org/?mlat=36.4267&amp;mlon=42.6011&amp;zoom=12#map=12/36.4267/42.6011","Maplink1")</f>
        <v>Maplink1</v>
      </c>
      <c r="AX1612" s="104" t="str">
        <f>HYPERLINK("https://www.google.iq/maps/search/+36.4267,42.6011/@36.4267,42.6011,14z?hl=en","Maplink2")</f>
        <v>Maplink2</v>
      </c>
      <c r="AY1612" s="104" t="str">
        <f>HYPERLINK("http://www.bing.com/maps/?lvl=14&amp;sty=h&amp;cp=36.4267~42.6011&amp;sp=point.36.4267_42.6011","Maplink3")</f>
        <v>Maplink3</v>
      </c>
    </row>
    <row r="1613" spans="1:51" x14ac:dyDescent="0.2">
      <c r="A1613" s="102">
        <v>33290</v>
      </c>
      <c r="B1613" s="103" t="s">
        <v>35</v>
      </c>
      <c r="C1613" s="103" t="s">
        <v>104</v>
      </c>
      <c r="D1613" s="103" t="s">
        <v>3159</v>
      </c>
      <c r="E1613" s="103" t="s">
        <v>3160</v>
      </c>
      <c r="F1613" s="103">
        <v>36.5289</v>
      </c>
      <c r="G1613" s="103">
        <v>42.447671767000003</v>
      </c>
      <c r="H1613" s="102">
        <v>19</v>
      </c>
      <c r="I1613" s="102">
        <v>114</v>
      </c>
      <c r="J1613" s="103"/>
      <c r="K1613" s="103"/>
      <c r="L1613" s="103"/>
      <c r="M1613" s="103">
        <v>16</v>
      </c>
      <c r="N1613" s="103">
        <v>3</v>
      </c>
      <c r="O1613" s="103"/>
      <c r="P1613" s="103"/>
      <c r="Q1613" s="103"/>
      <c r="R1613" s="103"/>
      <c r="S1613" s="103"/>
      <c r="T1613" s="103"/>
      <c r="U1613" s="103"/>
      <c r="V1613" s="103"/>
      <c r="W1613" s="103"/>
      <c r="X1613" s="103"/>
      <c r="Y1613" s="103"/>
      <c r="Z1613" s="103"/>
      <c r="AA1613" s="103"/>
      <c r="AB1613" s="103"/>
      <c r="AC1613" s="103"/>
      <c r="AD1613" s="103"/>
      <c r="AE1613" s="103"/>
      <c r="AF1613" s="103"/>
      <c r="AG1613" s="103">
        <v>19</v>
      </c>
      <c r="AH1613" s="103"/>
      <c r="AI1613" s="103"/>
      <c r="AJ1613" s="103"/>
      <c r="AK1613" s="103"/>
      <c r="AL1613" s="103"/>
      <c r="AM1613" s="103"/>
      <c r="AN1613" s="103"/>
      <c r="AO1613" s="103"/>
      <c r="AP1613" s="103">
        <v>19</v>
      </c>
      <c r="AQ1613" s="103"/>
      <c r="AR1613" s="103"/>
      <c r="AS1613" s="103"/>
      <c r="AT1613" s="103"/>
      <c r="AU1613" s="103"/>
      <c r="AV1613" s="103"/>
      <c r="AW1613" s="104" t="str">
        <f>HYPERLINK("http://www.openstreetmap.org/?mlat=36.5289&amp;mlon=42.4477&amp;zoom=12#map=12/36.5289/42.4477","Maplink1")</f>
        <v>Maplink1</v>
      </c>
      <c r="AX1613" s="104" t="str">
        <f>HYPERLINK("https://www.google.iq/maps/search/+36.5289,42.4477/@36.5289,42.4477,14z?hl=en","Maplink2")</f>
        <v>Maplink2</v>
      </c>
      <c r="AY1613" s="104" t="str">
        <f>HYPERLINK("http://www.bing.com/maps/?lvl=14&amp;sty=h&amp;cp=36.5289~42.4477&amp;sp=point.36.5289_42.4477","Maplink3")</f>
        <v>Maplink3</v>
      </c>
    </row>
    <row r="1614" spans="1:51" x14ac:dyDescent="0.2">
      <c r="A1614" s="102">
        <v>33406</v>
      </c>
      <c r="B1614" s="103" t="s">
        <v>35</v>
      </c>
      <c r="C1614" s="103" t="s">
        <v>104</v>
      </c>
      <c r="D1614" s="103" t="s">
        <v>3161</v>
      </c>
      <c r="E1614" s="103" t="s">
        <v>3162</v>
      </c>
      <c r="F1614" s="103">
        <v>36.929313</v>
      </c>
      <c r="G1614" s="103">
        <v>42.332048999999998</v>
      </c>
      <c r="H1614" s="102">
        <v>106</v>
      </c>
      <c r="I1614" s="102">
        <v>636</v>
      </c>
      <c r="J1614" s="103"/>
      <c r="K1614" s="103"/>
      <c r="L1614" s="103"/>
      <c r="M1614" s="103">
        <v>106</v>
      </c>
      <c r="N1614" s="103"/>
      <c r="O1614" s="103"/>
      <c r="P1614" s="103"/>
      <c r="Q1614" s="103"/>
      <c r="R1614" s="103"/>
      <c r="S1614" s="103"/>
      <c r="T1614" s="103"/>
      <c r="U1614" s="103"/>
      <c r="V1614" s="103"/>
      <c r="W1614" s="103"/>
      <c r="X1614" s="103"/>
      <c r="Y1614" s="103">
        <v>106</v>
      </c>
      <c r="Z1614" s="103"/>
      <c r="AA1614" s="103"/>
      <c r="AB1614" s="103"/>
      <c r="AC1614" s="103"/>
      <c r="AD1614" s="103"/>
      <c r="AE1614" s="103"/>
      <c r="AF1614" s="103"/>
      <c r="AG1614" s="103"/>
      <c r="AH1614" s="103"/>
      <c r="AI1614" s="103"/>
      <c r="AJ1614" s="103"/>
      <c r="AK1614" s="103"/>
      <c r="AL1614" s="103"/>
      <c r="AM1614" s="103"/>
      <c r="AN1614" s="103"/>
      <c r="AO1614" s="103"/>
      <c r="AP1614" s="103"/>
      <c r="AQ1614" s="103"/>
      <c r="AR1614" s="103"/>
      <c r="AS1614" s="103"/>
      <c r="AT1614" s="103">
        <v>106</v>
      </c>
      <c r="AU1614" s="103"/>
      <c r="AV1614" s="103"/>
      <c r="AW1614" s="104" t="str">
        <f>HYPERLINK("http://www.openstreetmap.org/?mlat=36.9293&amp;mlon=42.332&amp;zoom=12#map=12/36.9293/42.332","Maplink1")</f>
        <v>Maplink1</v>
      </c>
      <c r="AX1614" s="104" t="str">
        <f>HYPERLINK("https://www.google.iq/maps/search/+36.9293,42.332/@36.9293,42.332,14z?hl=en","Maplink2")</f>
        <v>Maplink2</v>
      </c>
      <c r="AY1614" s="104" t="str">
        <f>HYPERLINK("http://www.bing.com/maps/?lvl=14&amp;sty=h&amp;cp=36.9293~42.332&amp;sp=point.36.9293_42.332","Maplink3")</f>
        <v>Maplink3</v>
      </c>
    </row>
    <row r="1615" spans="1:51" x14ac:dyDescent="0.2">
      <c r="A1615" s="102">
        <v>33482</v>
      </c>
      <c r="B1615" s="103" t="s">
        <v>35</v>
      </c>
      <c r="C1615" s="103" t="s">
        <v>104</v>
      </c>
      <c r="D1615" s="103" t="s">
        <v>3163</v>
      </c>
      <c r="E1615" s="103" t="s">
        <v>3164</v>
      </c>
      <c r="F1615" s="103">
        <v>36.4651</v>
      </c>
      <c r="G1615" s="103">
        <v>42.346530628399996</v>
      </c>
      <c r="H1615" s="102">
        <v>90</v>
      </c>
      <c r="I1615" s="102">
        <v>540</v>
      </c>
      <c r="J1615" s="103"/>
      <c r="K1615" s="103"/>
      <c r="L1615" s="103"/>
      <c r="M1615" s="103">
        <v>70</v>
      </c>
      <c r="N1615" s="103">
        <v>20</v>
      </c>
      <c r="O1615" s="103"/>
      <c r="P1615" s="103"/>
      <c r="Q1615" s="103"/>
      <c r="R1615" s="103"/>
      <c r="S1615" s="103"/>
      <c r="T1615" s="103"/>
      <c r="U1615" s="103"/>
      <c r="V1615" s="103"/>
      <c r="W1615" s="103"/>
      <c r="X1615" s="103"/>
      <c r="Y1615" s="103"/>
      <c r="Z1615" s="103"/>
      <c r="AA1615" s="103"/>
      <c r="AB1615" s="103"/>
      <c r="AC1615" s="103"/>
      <c r="AD1615" s="103"/>
      <c r="AE1615" s="103"/>
      <c r="AF1615" s="103"/>
      <c r="AG1615" s="103">
        <v>90</v>
      </c>
      <c r="AH1615" s="103"/>
      <c r="AI1615" s="103"/>
      <c r="AJ1615" s="103"/>
      <c r="AK1615" s="103"/>
      <c r="AL1615" s="103"/>
      <c r="AM1615" s="103"/>
      <c r="AN1615" s="103"/>
      <c r="AO1615" s="103"/>
      <c r="AP1615" s="103"/>
      <c r="AQ1615" s="103"/>
      <c r="AR1615" s="103"/>
      <c r="AS1615" s="103">
        <v>90</v>
      </c>
      <c r="AT1615" s="103"/>
      <c r="AU1615" s="103"/>
      <c r="AV1615" s="103"/>
      <c r="AW1615" s="104" t="str">
        <f>HYPERLINK("http://www.openstreetmap.org/?mlat=36.4651&amp;mlon=42.3465&amp;zoom=12#map=12/36.4651/42.3465","Maplink1")</f>
        <v>Maplink1</v>
      </c>
      <c r="AX1615" s="104" t="str">
        <f>HYPERLINK("https://www.google.iq/maps/search/+36.4651,42.3465/@36.4651,42.3465,14z?hl=en","Maplink2")</f>
        <v>Maplink2</v>
      </c>
      <c r="AY1615" s="104" t="str">
        <f>HYPERLINK("http://www.bing.com/maps/?lvl=14&amp;sty=h&amp;cp=36.4651~42.3465&amp;sp=point.36.4651_42.3465","Maplink3")</f>
        <v>Maplink3</v>
      </c>
    </row>
    <row r="1616" spans="1:51" x14ac:dyDescent="0.2">
      <c r="A1616" s="102">
        <v>28453</v>
      </c>
      <c r="B1616" s="103" t="s">
        <v>35</v>
      </c>
      <c r="C1616" s="103" t="s">
        <v>104</v>
      </c>
      <c r="D1616" s="103" t="s">
        <v>3165</v>
      </c>
      <c r="E1616" s="103" t="s">
        <v>3166</v>
      </c>
      <c r="F1616" s="103">
        <v>36.731100699199999</v>
      </c>
      <c r="G1616" s="103">
        <v>42.258584500799998</v>
      </c>
      <c r="H1616" s="102">
        <v>235</v>
      </c>
      <c r="I1616" s="102">
        <v>1410</v>
      </c>
      <c r="J1616" s="103"/>
      <c r="K1616" s="103"/>
      <c r="L1616" s="103"/>
      <c r="M1616" s="103">
        <v>233</v>
      </c>
      <c r="N1616" s="103">
        <v>2</v>
      </c>
      <c r="O1616" s="103"/>
      <c r="P1616" s="103"/>
      <c r="Q1616" s="103"/>
      <c r="R1616" s="103"/>
      <c r="S1616" s="103"/>
      <c r="T1616" s="103"/>
      <c r="U1616" s="103"/>
      <c r="V1616" s="103"/>
      <c r="W1616" s="103"/>
      <c r="X1616" s="103"/>
      <c r="Y1616" s="103"/>
      <c r="Z1616" s="103"/>
      <c r="AA1616" s="103"/>
      <c r="AB1616" s="103"/>
      <c r="AC1616" s="103"/>
      <c r="AD1616" s="103"/>
      <c r="AE1616" s="103"/>
      <c r="AF1616" s="103"/>
      <c r="AG1616" s="103">
        <v>235</v>
      </c>
      <c r="AH1616" s="103"/>
      <c r="AI1616" s="103"/>
      <c r="AJ1616" s="103"/>
      <c r="AK1616" s="103"/>
      <c r="AL1616" s="103"/>
      <c r="AM1616" s="103"/>
      <c r="AN1616" s="103"/>
      <c r="AO1616" s="103"/>
      <c r="AP1616" s="103">
        <v>235</v>
      </c>
      <c r="AQ1616" s="103"/>
      <c r="AR1616" s="103"/>
      <c r="AS1616" s="103"/>
      <c r="AT1616" s="103"/>
      <c r="AU1616" s="103"/>
      <c r="AV1616" s="103"/>
      <c r="AW1616" s="104" t="str">
        <f>HYPERLINK("http://www.openstreetmap.org/?mlat=36.7311&amp;mlon=42.2586&amp;zoom=12#map=12/36.7311/42.2586","Maplink1")</f>
        <v>Maplink1</v>
      </c>
      <c r="AX1616" s="104" t="str">
        <f>HYPERLINK("https://www.google.iq/maps/search/+36.7311,42.2586/@36.7311,42.2586,14z?hl=en","Maplink2")</f>
        <v>Maplink2</v>
      </c>
      <c r="AY1616" s="104" t="str">
        <f>HYPERLINK("http://www.bing.com/maps/?lvl=14&amp;sty=h&amp;cp=36.7311~42.2586&amp;sp=point.36.7311_42.2586","Maplink3")</f>
        <v>Maplink3</v>
      </c>
    </row>
    <row r="1617" spans="1:51" x14ac:dyDescent="0.2">
      <c r="A1617" s="102">
        <v>18006</v>
      </c>
      <c r="B1617" s="103" t="s">
        <v>35</v>
      </c>
      <c r="C1617" s="103" t="s">
        <v>104</v>
      </c>
      <c r="D1617" s="103" t="s">
        <v>253</v>
      </c>
      <c r="E1617" s="103" t="s">
        <v>254</v>
      </c>
      <c r="F1617" s="103">
        <v>36.371630000000003</v>
      </c>
      <c r="G1617" s="103">
        <v>42.459803600000001</v>
      </c>
      <c r="H1617" s="102">
        <v>526</v>
      </c>
      <c r="I1617" s="102">
        <v>3156</v>
      </c>
      <c r="J1617" s="103"/>
      <c r="K1617" s="103"/>
      <c r="L1617" s="103">
        <v>10</v>
      </c>
      <c r="M1617" s="103">
        <v>514</v>
      </c>
      <c r="N1617" s="103">
        <v>2</v>
      </c>
      <c r="O1617" s="103"/>
      <c r="P1617" s="103"/>
      <c r="Q1617" s="103"/>
      <c r="R1617" s="103"/>
      <c r="S1617" s="103"/>
      <c r="T1617" s="103"/>
      <c r="U1617" s="103"/>
      <c r="V1617" s="103"/>
      <c r="W1617" s="103">
        <v>25</v>
      </c>
      <c r="X1617" s="103"/>
      <c r="Y1617" s="103">
        <v>37</v>
      </c>
      <c r="Z1617" s="103"/>
      <c r="AA1617" s="103">
        <v>45</v>
      </c>
      <c r="AB1617" s="103">
        <v>7</v>
      </c>
      <c r="AC1617" s="103">
        <v>49</v>
      </c>
      <c r="AD1617" s="103"/>
      <c r="AE1617" s="103"/>
      <c r="AF1617" s="103">
        <v>124</v>
      </c>
      <c r="AG1617" s="103">
        <v>231</v>
      </c>
      <c r="AH1617" s="103"/>
      <c r="AI1617" s="103"/>
      <c r="AJ1617" s="103">
        <v>8</v>
      </c>
      <c r="AK1617" s="103"/>
      <c r="AL1617" s="103"/>
      <c r="AM1617" s="103"/>
      <c r="AN1617" s="103">
        <v>526</v>
      </c>
      <c r="AO1617" s="103"/>
      <c r="AP1617" s="103"/>
      <c r="AQ1617" s="103"/>
      <c r="AR1617" s="103"/>
      <c r="AS1617" s="103"/>
      <c r="AT1617" s="103"/>
      <c r="AU1617" s="103"/>
      <c r="AV1617" s="103"/>
      <c r="AW1617" s="104" t="str">
        <f>HYPERLINK("http://www.openstreetmap.org/?mlat=36.3716&amp;mlon=42.4598&amp;zoom=12#map=12/36.3716/42.4598","Maplink1")</f>
        <v>Maplink1</v>
      </c>
      <c r="AX1617" s="104" t="str">
        <f>HYPERLINK("https://www.google.iq/maps/search/+36.3716,42.4598/@36.3716,42.4598,14z?hl=en","Maplink2")</f>
        <v>Maplink2</v>
      </c>
      <c r="AY1617" s="104" t="str">
        <f>HYPERLINK("http://www.bing.com/maps/?lvl=14&amp;sty=h&amp;cp=36.3716~42.4598&amp;sp=point.36.3716_42.4598","Maplink3")</f>
        <v>Maplink3</v>
      </c>
    </row>
    <row r="1618" spans="1:51" x14ac:dyDescent="0.2">
      <c r="A1618" s="102">
        <v>17488</v>
      </c>
      <c r="B1618" s="103" t="s">
        <v>35</v>
      </c>
      <c r="C1618" s="103" t="s">
        <v>104</v>
      </c>
      <c r="D1618" s="103" t="s">
        <v>3167</v>
      </c>
      <c r="E1618" s="103" t="s">
        <v>3168</v>
      </c>
      <c r="F1618" s="103">
        <v>36.5002</v>
      </c>
      <c r="G1618" s="103">
        <v>42.593829995299998</v>
      </c>
      <c r="H1618" s="102">
        <v>310</v>
      </c>
      <c r="I1618" s="102">
        <v>1860</v>
      </c>
      <c r="J1618" s="103"/>
      <c r="K1618" s="103"/>
      <c r="L1618" s="103"/>
      <c r="M1618" s="103">
        <v>310</v>
      </c>
      <c r="N1618" s="103"/>
      <c r="O1618" s="103"/>
      <c r="P1618" s="103"/>
      <c r="Q1618" s="103"/>
      <c r="R1618" s="103"/>
      <c r="S1618" s="103"/>
      <c r="T1618" s="103"/>
      <c r="U1618" s="103"/>
      <c r="V1618" s="103"/>
      <c r="W1618" s="103"/>
      <c r="X1618" s="103"/>
      <c r="Y1618" s="103"/>
      <c r="Z1618" s="103"/>
      <c r="AA1618" s="103"/>
      <c r="AB1618" s="103"/>
      <c r="AC1618" s="103"/>
      <c r="AD1618" s="103"/>
      <c r="AE1618" s="103"/>
      <c r="AF1618" s="103"/>
      <c r="AG1618" s="103">
        <v>310</v>
      </c>
      <c r="AH1618" s="103"/>
      <c r="AI1618" s="103"/>
      <c r="AJ1618" s="103"/>
      <c r="AK1618" s="103"/>
      <c r="AL1618" s="103"/>
      <c r="AM1618" s="103"/>
      <c r="AN1618" s="103"/>
      <c r="AO1618" s="103"/>
      <c r="AP1618" s="103">
        <v>310</v>
      </c>
      <c r="AQ1618" s="103"/>
      <c r="AR1618" s="103"/>
      <c r="AS1618" s="103"/>
      <c r="AT1618" s="103"/>
      <c r="AU1618" s="103"/>
      <c r="AV1618" s="103"/>
      <c r="AW1618" s="104" t="str">
        <f>HYPERLINK("http://www.openstreetmap.org/?mlat=36.5002&amp;mlon=42.5938&amp;zoom=12#map=12/36.5002/42.5938","Maplink1")</f>
        <v>Maplink1</v>
      </c>
      <c r="AX1618" s="104" t="str">
        <f>HYPERLINK("https://www.google.iq/maps/search/+36.5002,42.5938/@36.5002,42.5938,14z?hl=en","Maplink2")</f>
        <v>Maplink2</v>
      </c>
      <c r="AY1618" s="104" t="str">
        <f>HYPERLINK("http://www.bing.com/maps/?lvl=14&amp;sty=h&amp;cp=36.5002~42.5938&amp;sp=point.36.5002_42.5938","Maplink3")</f>
        <v>Maplink3</v>
      </c>
    </row>
    <row r="1619" spans="1:51" x14ac:dyDescent="0.2">
      <c r="A1619" s="102">
        <v>25807</v>
      </c>
      <c r="B1619" s="103" t="s">
        <v>35</v>
      </c>
      <c r="C1619" s="103" t="s">
        <v>104</v>
      </c>
      <c r="D1619" s="103" t="s">
        <v>3169</v>
      </c>
      <c r="E1619" s="103" t="s">
        <v>3170</v>
      </c>
      <c r="F1619" s="103">
        <v>36.801709250199998</v>
      </c>
      <c r="G1619" s="103">
        <v>42.094587545300001</v>
      </c>
      <c r="H1619" s="102">
        <v>208</v>
      </c>
      <c r="I1619" s="102">
        <v>1248</v>
      </c>
      <c r="J1619" s="103"/>
      <c r="K1619" s="103"/>
      <c r="L1619" s="103"/>
      <c r="M1619" s="103">
        <v>208</v>
      </c>
      <c r="N1619" s="103"/>
      <c r="O1619" s="103"/>
      <c r="P1619" s="103"/>
      <c r="Q1619" s="103"/>
      <c r="R1619" s="103"/>
      <c r="S1619" s="103"/>
      <c r="T1619" s="103"/>
      <c r="U1619" s="103"/>
      <c r="V1619" s="103"/>
      <c r="W1619" s="103"/>
      <c r="X1619" s="103"/>
      <c r="Y1619" s="103"/>
      <c r="Z1619" s="103"/>
      <c r="AA1619" s="103"/>
      <c r="AB1619" s="103"/>
      <c r="AC1619" s="103"/>
      <c r="AD1619" s="103"/>
      <c r="AE1619" s="103"/>
      <c r="AF1619" s="103"/>
      <c r="AG1619" s="103">
        <v>208</v>
      </c>
      <c r="AH1619" s="103"/>
      <c r="AI1619" s="103"/>
      <c r="AJ1619" s="103"/>
      <c r="AK1619" s="103"/>
      <c r="AL1619" s="103"/>
      <c r="AM1619" s="103"/>
      <c r="AN1619" s="103"/>
      <c r="AO1619" s="103">
        <v>208</v>
      </c>
      <c r="AP1619" s="103"/>
      <c r="AQ1619" s="103"/>
      <c r="AR1619" s="103"/>
      <c r="AS1619" s="103"/>
      <c r="AT1619" s="103"/>
      <c r="AU1619" s="103"/>
      <c r="AV1619" s="103"/>
      <c r="AW1619" s="104" t="str">
        <f>HYPERLINK("http://www.openstreetmap.org/?mlat=36.8017&amp;mlon=42.0946&amp;zoom=12#map=12/36.8017/42.0946","Maplink1")</f>
        <v>Maplink1</v>
      </c>
      <c r="AX1619" s="104" t="str">
        <f>HYPERLINK("https://www.google.iq/maps/search/+36.8017,42.0946/@36.8017,42.0946,14z?hl=en","Maplink2")</f>
        <v>Maplink2</v>
      </c>
      <c r="AY1619" s="104" t="str">
        <f>HYPERLINK("http://www.bing.com/maps/?lvl=14&amp;sty=h&amp;cp=36.8017~42.0946&amp;sp=point.36.8017_42.0946","Maplink3")</f>
        <v>Maplink3</v>
      </c>
    </row>
    <row r="1620" spans="1:51" x14ac:dyDescent="0.2">
      <c r="A1620" s="102">
        <v>27353</v>
      </c>
      <c r="B1620" s="103" t="s">
        <v>35</v>
      </c>
      <c r="C1620" s="103" t="s">
        <v>104</v>
      </c>
      <c r="D1620" s="103" t="s">
        <v>3171</v>
      </c>
      <c r="E1620" s="103" t="s">
        <v>3172</v>
      </c>
      <c r="F1620" s="103">
        <v>36.975791620000003</v>
      </c>
      <c r="G1620" s="103">
        <v>42.346560930000003</v>
      </c>
      <c r="H1620" s="102">
        <v>100</v>
      </c>
      <c r="I1620" s="102">
        <v>600</v>
      </c>
      <c r="J1620" s="103"/>
      <c r="K1620" s="103"/>
      <c r="L1620" s="103"/>
      <c r="M1620" s="103">
        <v>100</v>
      </c>
      <c r="N1620" s="103"/>
      <c r="O1620" s="103"/>
      <c r="P1620" s="103"/>
      <c r="Q1620" s="103"/>
      <c r="R1620" s="103"/>
      <c r="S1620" s="103"/>
      <c r="T1620" s="103"/>
      <c r="U1620" s="103"/>
      <c r="V1620" s="103"/>
      <c r="W1620" s="103"/>
      <c r="X1620" s="103"/>
      <c r="Y1620" s="103">
        <v>100</v>
      </c>
      <c r="Z1620" s="103"/>
      <c r="AA1620" s="103"/>
      <c r="AB1620" s="103"/>
      <c r="AC1620" s="103"/>
      <c r="AD1620" s="103"/>
      <c r="AE1620" s="103"/>
      <c r="AF1620" s="103"/>
      <c r="AG1620" s="103"/>
      <c r="AH1620" s="103"/>
      <c r="AI1620" s="103"/>
      <c r="AJ1620" s="103"/>
      <c r="AK1620" s="103"/>
      <c r="AL1620" s="103"/>
      <c r="AM1620" s="103"/>
      <c r="AN1620" s="103"/>
      <c r="AO1620" s="103"/>
      <c r="AP1620" s="103"/>
      <c r="AQ1620" s="103"/>
      <c r="AR1620" s="103"/>
      <c r="AS1620" s="103"/>
      <c r="AT1620" s="103">
        <v>100</v>
      </c>
      <c r="AU1620" s="103"/>
      <c r="AV1620" s="103"/>
      <c r="AW1620" s="104" t="str">
        <f>HYPERLINK("http://www.openstreetmap.org/?mlat=36.9758&amp;mlon=42.3466&amp;zoom=12#map=12/36.9758/42.3466","Maplink1")</f>
        <v>Maplink1</v>
      </c>
      <c r="AX1620" s="104" t="str">
        <f>HYPERLINK("https://www.google.iq/maps/search/+36.9758,42.3466/@36.9758,42.3466,14z?hl=en","Maplink2")</f>
        <v>Maplink2</v>
      </c>
      <c r="AY1620" s="104" t="str">
        <f>HYPERLINK("http://www.bing.com/maps/?lvl=14&amp;sty=h&amp;cp=36.9758~42.3466&amp;sp=point.36.9758_42.3466","Maplink3")</f>
        <v>Maplink3</v>
      </c>
    </row>
    <row r="1621" spans="1:51" x14ac:dyDescent="0.2">
      <c r="A1621" s="102">
        <v>17575</v>
      </c>
      <c r="B1621" s="103" t="s">
        <v>35</v>
      </c>
      <c r="C1621" s="103" t="s">
        <v>104</v>
      </c>
      <c r="D1621" s="103" t="s">
        <v>3173</v>
      </c>
      <c r="E1621" s="103" t="s">
        <v>3174</v>
      </c>
      <c r="F1621" s="103">
        <v>36.695300000000003</v>
      </c>
      <c r="G1621" s="103">
        <v>42.622414431000003</v>
      </c>
      <c r="H1621" s="102">
        <v>70</v>
      </c>
      <c r="I1621" s="102">
        <v>420</v>
      </c>
      <c r="J1621" s="103"/>
      <c r="K1621" s="103"/>
      <c r="L1621" s="103"/>
      <c r="M1621" s="103">
        <v>70</v>
      </c>
      <c r="N1621" s="103"/>
      <c r="O1621" s="103"/>
      <c r="P1621" s="103"/>
      <c r="Q1621" s="103"/>
      <c r="R1621" s="103"/>
      <c r="S1621" s="103"/>
      <c r="T1621" s="103"/>
      <c r="U1621" s="103"/>
      <c r="V1621" s="103"/>
      <c r="W1621" s="103"/>
      <c r="X1621" s="103"/>
      <c r="Y1621" s="103"/>
      <c r="Z1621" s="103"/>
      <c r="AA1621" s="103"/>
      <c r="AB1621" s="103"/>
      <c r="AC1621" s="103"/>
      <c r="AD1621" s="103"/>
      <c r="AE1621" s="103"/>
      <c r="AF1621" s="103"/>
      <c r="AG1621" s="103">
        <v>70</v>
      </c>
      <c r="AH1621" s="103"/>
      <c r="AI1621" s="103"/>
      <c r="AJ1621" s="103"/>
      <c r="AK1621" s="103"/>
      <c r="AL1621" s="103"/>
      <c r="AM1621" s="103"/>
      <c r="AN1621" s="103"/>
      <c r="AO1621" s="103">
        <v>70</v>
      </c>
      <c r="AP1621" s="103"/>
      <c r="AQ1621" s="103"/>
      <c r="AR1621" s="103"/>
      <c r="AS1621" s="103"/>
      <c r="AT1621" s="103"/>
      <c r="AU1621" s="103"/>
      <c r="AV1621" s="103"/>
      <c r="AW1621" s="104" t="str">
        <f>HYPERLINK("http://www.openstreetmap.org/?mlat=36.6953&amp;mlon=42.6224&amp;zoom=12#map=12/36.6953/42.6224","Maplink1")</f>
        <v>Maplink1</v>
      </c>
      <c r="AX1621" s="104" t="str">
        <f>HYPERLINK("https://www.google.iq/maps/search/+36.6953,42.6224/@36.6953,42.6224,14z?hl=en","Maplink2")</f>
        <v>Maplink2</v>
      </c>
      <c r="AY1621" s="104" t="str">
        <f>HYPERLINK("http://www.bing.com/maps/?lvl=14&amp;sty=h&amp;cp=36.6953~42.6224&amp;sp=point.36.6953_42.6224","Maplink3")</f>
        <v>Maplink3</v>
      </c>
    </row>
    <row r="1622" spans="1:51" x14ac:dyDescent="0.2">
      <c r="A1622" s="102">
        <v>17654</v>
      </c>
      <c r="B1622" s="103" t="s">
        <v>35</v>
      </c>
      <c r="C1622" s="103" t="s">
        <v>104</v>
      </c>
      <c r="D1622" s="103" t="s">
        <v>3301</v>
      </c>
      <c r="E1622" s="103" t="s">
        <v>3302</v>
      </c>
      <c r="F1622" s="103">
        <v>36.643217978899997</v>
      </c>
      <c r="G1622" s="103">
        <v>42.444310029</v>
      </c>
      <c r="H1622" s="102">
        <v>91</v>
      </c>
      <c r="I1622" s="102">
        <v>546</v>
      </c>
      <c r="J1622" s="103"/>
      <c r="K1622" s="103"/>
      <c r="L1622" s="103"/>
      <c r="M1622" s="103">
        <v>91</v>
      </c>
      <c r="N1622" s="103"/>
      <c r="O1622" s="103"/>
      <c r="P1622" s="103"/>
      <c r="Q1622" s="103"/>
      <c r="R1622" s="103"/>
      <c r="S1622" s="103"/>
      <c r="T1622" s="103"/>
      <c r="U1622" s="103"/>
      <c r="V1622" s="103"/>
      <c r="W1622" s="103"/>
      <c r="X1622" s="103"/>
      <c r="Y1622" s="103"/>
      <c r="Z1622" s="103"/>
      <c r="AA1622" s="103"/>
      <c r="AB1622" s="103"/>
      <c r="AC1622" s="103"/>
      <c r="AD1622" s="103"/>
      <c r="AE1622" s="103"/>
      <c r="AF1622" s="103"/>
      <c r="AG1622" s="103">
        <v>91</v>
      </c>
      <c r="AH1622" s="103"/>
      <c r="AI1622" s="103"/>
      <c r="AJ1622" s="103"/>
      <c r="AK1622" s="103"/>
      <c r="AL1622" s="103"/>
      <c r="AM1622" s="103"/>
      <c r="AN1622" s="103"/>
      <c r="AO1622" s="103"/>
      <c r="AP1622" s="103">
        <v>91</v>
      </c>
      <c r="AQ1622" s="103"/>
      <c r="AR1622" s="103"/>
      <c r="AS1622" s="103"/>
      <c r="AT1622" s="103"/>
      <c r="AU1622" s="103"/>
      <c r="AV1622" s="103"/>
      <c r="AW1622" s="104" t="str">
        <f>HYPERLINK("http://www.openstreetmap.org/?mlat=36.6432&amp;mlon=42.4443&amp;zoom=12#map=12/36.6432/42.4443","Maplink1")</f>
        <v>Maplink1</v>
      </c>
      <c r="AX1622" s="104" t="str">
        <f>HYPERLINK("https://www.google.iq/maps/search/+36.6432,42.4443/@36.6432,42.4443,14z?hl=en","Maplink2")</f>
        <v>Maplink2</v>
      </c>
      <c r="AY1622" s="104" t="str">
        <f>HYPERLINK("http://www.bing.com/maps/?lvl=14&amp;sty=h&amp;cp=36.6432~42.4443&amp;sp=point.36.6432_42.4443","Maplink3")</f>
        <v>Maplink3</v>
      </c>
    </row>
    <row r="1623" spans="1:51" x14ac:dyDescent="0.2">
      <c r="A1623" s="102">
        <v>33278</v>
      </c>
      <c r="B1623" s="103" t="s">
        <v>35</v>
      </c>
      <c r="C1623" s="103" t="s">
        <v>104</v>
      </c>
      <c r="D1623" s="103" t="s">
        <v>3303</v>
      </c>
      <c r="E1623" s="103" t="s">
        <v>3304</v>
      </c>
      <c r="F1623" s="103">
        <v>36.382409000000003</v>
      </c>
      <c r="G1623" s="103">
        <v>42.448608999999998</v>
      </c>
      <c r="H1623" s="102">
        <v>890</v>
      </c>
      <c r="I1623" s="102">
        <v>5340</v>
      </c>
      <c r="J1623" s="103"/>
      <c r="K1623" s="103"/>
      <c r="L1623" s="103">
        <v>19</v>
      </c>
      <c r="M1623" s="103">
        <v>866</v>
      </c>
      <c r="N1623" s="103">
        <v>5</v>
      </c>
      <c r="O1623" s="103"/>
      <c r="P1623" s="103"/>
      <c r="Q1623" s="103"/>
      <c r="R1623" s="103"/>
      <c r="S1623" s="103"/>
      <c r="T1623" s="103"/>
      <c r="U1623" s="103"/>
      <c r="V1623" s="103">
        <v>76</v>
      </c>
      <c r="W1623" s="103">
        <v>55</v>
      </c>
      <c r="X1623" s="103">
        <v>29</v>
      </c>
      <c r="Y1623" s="103">
        <v>5</v>
      </c>
      <c r="Z1623" s="103"/>
      <c r="AA1623" s="103">
        <v>96</v>
      </c>
      <c r="AB1623" s="103">
        <v>135</v>
      </c>
      <c r="AC1623" s="103">
        <v>9</v>
      </c>
      <c r="AD1623" s="103"/>
      <c r="AE1623" s="103"/>
      <c r="AF1623" s="103">
        <v>355</v>
      </c>
      <c r="AG1623" s="103">
        <v>69</v>
      </c>
      <c r="AH1623" s="103">
        <v>2</v>
      </c>
      <c r="AI1623" s="103"/>
      <c r="AJ1623" s="103">
        <v>3</v>
      </c>
      <c r="AK1623" s="103">
        <v>6</v>
      </c>
      <c r="AL1623" s="103">
        <v>50</v>
      </c>
      <c r="AM1623" s="103"/>
      <c r="AN1623" s="103">
        <v>890</v>
      </c>
      <c r="AO1623" s="103"/>
      <c r="AP1623" s="103"/>
      <c r="AQ1623" s="103"/>
      <c r="AR1623" s="103"/>
      <c r="AS1623" s="103"/>
      <c r="AT1623" s="103"/>
      <c r="AU1623" s="103"/>
      <c r="AV1623" s="103"/>
      <c r="AW1623" s="104" t="str">
        <f>HYPERLINK("http://www.openstreetmap.org/?mlat=36.3824&amp;mlon=42.4486&amp;zoom=12#map=12/36.3824/42.4486","Maplink1")</f>
        <v>Maplink1</v>
      </c>
      <c r="AX1623" s="104" t="str">
        <f>HYPERLINK("https://www.google.iq/maps/search/+36.3824,42.4486/@36.3824,42.4486,14z?hl=en","Maplink2")</f>
        <v>Maplink2</v>
      </c>
      <c r="AY1623" s="104" t="str">
        <f>HYPERLINK("http://www.bing.com/maps/?lvl=14&amp;sty=h&amp;cp=36.3824~42.4486&amp;sp=point.36.3824_42.4486","Maplink3")</f>
        <v>Maplink3</v>
      </c>
    </row>
    <row r="1624" spans="1:51" x14ac:dyDescent="0.2">
      <c r="A1624" s="102">
        <v>33346</v>
      </c>
      <c r="B1624" s="103" t="s">
        <v>35</v>
      </c>
      <c r="C1624" s="103" t="s">
        <v>104</v>
      </c>
      <c r="D1624" s="103" t="s">
        <v>3305</v>
      </c>
      <c r="E1624" s="103" t="s">
        <v>3306</v>
      </c>
      <c r="F1624" s="103">
        <v>36.398490000000002</v>
      </c>
      <c r="G1624" s="103">
        <v>42.504868999999999</v>
      </c>
      <c r="H1624" s="102">
        <v>373</v>
      </c>
      <c r="I1624" s="102">
        <v>2238</v>
      </c>
      <c r="J1624" s="103"/>
      <c r="K1624" s="103"/>
      <c r="L1624" s="103"/>
      <c r="M1624" s="103">
        <v>373</v>
      </c>
      <c r="N1624" s="103"/>
      <c r="O1624" s="103"/>
      <c r="P1624" s="103"/>
      <c r="Q1624" s="103"/>
      <c r="R1624" s="103"/>
      <c r="S1624" s="103"/>
      <c r="T1624" s="103"/>
      <c r="U1624" s="103"/>
      <c r="V1624" s="103"/>
      <c r="W1624" s="103"/>
      <c r="X1624" s="103"/>
      <c r="Y1624" s="103"/>
      <c r="Z1624" s="103"/>
      <c r="AA1624" s="103">
        <v>10</v>
      </c>
      <c r="AB1624" s="103">
        <v>10</v>
      </c>
      <c r="AC1624" s="103"/>
      <c r="AD1624" s="103"/>
      <c r="AE1624" s="103"/>
      <c r="AF1624" s="103">
        <v>10</v>
      </c>
      <c r="AG1624" s="103">
        <v>343</v>
      </c>
      <c r="AH1624" s="103"/>
      <c r="AI1624" s="103"/>
      <c r="AJ1624" s="103"/>
      <c r="AK1624" s="103"/>
      <c r="AL1624" s="103"/>
      <c r="AM1624" s="103"/>
      <c r="AN1624" s="103"/>
      <c r="AO1624" s="103"/>
      <c r="AP1624" s="103"/>
      <c r="AQ1624" s="103"/>
      <c r="AR1624" s="103"/>
      <c r="AS1624" s="103">
        <v>373</v>
      </c>
      <c r="AT1624" s="103"/>
      <c r="AU1624" s="103"/>
      <c r="AV1624" s="103"/>
      <c r="AW1624" s="104" t="str">
        <f>HYPERLINK("http://www.openstreetmap.org/?mlat=36.3985&amp;mlon=42.5049&amp;zoom=12#map=12/36.3985/42.5049","Maplink1")</f>
        <v>Maplink1</v>
      </c>
      <c r="AX1624" s="104" t="str">
        <f>HYPERLINK("https://www.google.iq/maps/search/+36.3985,42.5049/@36.3985,42.5049,14z?hl=en","Maplink2")</f>
        <v>Maplink2</v>
      </c>
      <c r="AY1624" s="104" t="str">
        <f>HYPERLINK("http://www.bing.com/maps/?lvl=14&amp;sty=h&amp;cp=36.3985~42.5049&amp;sp=point.36.3985_42.5049","Maplink3")</f>
        <v>Maplink3</v>
      </c>
    </row>
    <row r="1625" spans="1:51" x14ac:dyDescent="0.2">
      <c r="A1625" s="102">
        <v>34046</v>
      </c>
      <c r="B1625" s="103" t="s">
        <v>35</v>
      </c>
      <c r="C1625" s="103" t="s">
        <v>104</v>
      </c>
      <c r="D1625" s="103" t="s">
        <v>3307</v>
      </c>
      <c r="E1625" s="103" t="s">
        <v>3308</v>
      </c>
      <c r="F1625" s="103">
        <v>36.374031000000002</v>
      </c>
      <c r="G1625" s="103">
        <v>42.451582000000002</v>
      </c>
      <c r="H1625" s="102">
        <v>419</v>
      </c>
      <c r="I1625" s="102">
        <v>2514</v>
      </c>
      <c r="J1625" s="103"/>
      <c r="K1625" s="103"/>
      <c r="L1625" s="103">
        <v>3</v>
      </c>
      <c r="M1625" s="103">
        <v>416</v>
      </c>
      <c r="N1625" s="103"/>
      <c r="O1625" s="103"/>
      <c r="P1625" s="103"/>
      <c r="Q1625" s="103"/>
      <c r="R1625" s="103"/>
      <c r="S1625" s="103"/>
      <c r="T1625" s="103"/>
      <c r="U1625" s="103"/>
      <c r="V1625" s="103">
        <v>66</v>
      </c>
      <c r="W1625" s="103">
        <v>48</v>
      </c>
      <c r="X1625" s="103">
        <v>11</v>
      </c>
      <c r="Y1625" s="103"/>
      <c r="Z1625" s="103"/>
      <c r="AA1625" s="103"/>
      <c r="AB1625" s="103">
        <v>74</v>
      </c>
      <c r="AC1625" s="103"/>
      <c r="AD1625" s="103"/>
      <c r="AE1625" s="103">
        <v>2</v>
      </c>
      <c r="AF1625" s="103">
        <v>179</v>
      </c>
      <c r="AG1625" s="103"/>
      <c r="AH1625" s="103"/>
      <c r="AI1625" s="103"/>
      <c r="AJ1625" s="103"/>
      <c r="AK1625" s="103">
        <v>39</v>
      </c>
      <c r="AL1625" s="103"/>
      <c r="AM1625" s="103"/>
      <c r="AN1625" s="103">
        <v>419</v>
      </c>
      <c r="AO1625" s="103"/>
      <c r="AP1625" s="103"/>
      <c r="AQ1625" s="103"/>
      <c r="AR1625" s="103"/>
      <c r="AS1625" s="103"/>
      <c r="AT1625" s="103"/>
      <c r="AU1625" s="103"/>
      <c r="AV1625" s="103"/>
      <c r="AW1625" s="104" t="str">
        <f>HYPERLINK("http://www.openstreetmap.org/?mlat=36.374&amp;mlon=42.4516&amp;zoom=12#map=12/36.374/42.4516","Maplink1")</f>
        <v>Maplink1</v>
      </c>
      <c r="AX1625" s="104" t="str">
        <f>HYPERLINK("https://www.google.iq/maps/search/+36.374,42.4516/@36.374,42.4516,14z?hl=en","Maplink2")</f>
        <v>Maplink2</v>
      </c>
      <c r="AY1625" s="104" t="str">
        <f>HYPERLINK("http://www.bing.com/maps/?lvl=14&amp;sty=h&amp;cp=36.374~42.4516&amp;sp=point.36.374_42.4516","Maplink3")</f>
        <v>Maplink3</v>
      </c>
    </row>
    <row r="1626" spans="1:51" x14ac:dyDescent="0.2">
      <c r="A1626" s="102">
        <v>27382</v>
      </c>
      <c r="B1626" s="103" t="s">
        <v>35</v>
      </c>
      <c r="C1626" s="103" t="s">
        <v>104</v>
      </c>
      <c r="D1626" s="103" t="s">
        <v>3325</v>
      </c>
      <c r="E1626" s="103" t="s">
        <v>3326</v>
      </c>
      <c r="F1626" s="103">
        <v>36.624253346499998</v>
      </c>
      <c r="G1626" s="103">
        <v>42.464909094200003</v>
      </c>
      <c r="H1626" s="102">
        <v>145</v>
      </c>
      <c r="I1626" s="102">
        <v>870</v>
      </c>
      <c r="J1626" s="103"/>
      <c r="K1626" s="103"/>
      <c r="L1626" s="103"/>
      <c r="M1626" s="103">
        <v>145</v>
      </c>
      <c r="N1626" s="103"/>
      <c r="O1626" s="103"/>
      <c r="P1626" s="103"/>
      <c r="Q1626" s="103"/>
      <c r="R1626" s="103"/>
      <c r="S1626" s="103"/>
      <c r="T1626" s="103"/>
      <c r="U1626" s="103"/>
      <c r="V1626" s="103"/>
      <c r="W1626" s="103"/>
      <c r="X1626" s="103"/>
      <c r="Y1626" s="103"/>
      <c r="Z1626" s="103"/>
      <c r="AA1626" s="103"/>
      <c r="AB1626" s="103"/>
      <c r="AC1626" s="103"/>
      <c r="AD1626" s="103"/>
      <c r="AE1626" s="103"/>
      <c r="AF1626" s="103"/>
      <c r="AG1626" s="103">
        <v>145</v>
      </c>
      <c r="AH1626" s="103"/>
      <c r="AI1626" s="103"/>
      <c r="AJ1626" s="103"/>
      <c r="AK1626" s="103"/>
      <c r="AL1626" s="103"/>
      <c r="AM1626" s="103"/>
      <c r="AN1626" s="103"/>
      <c r="AO1626" s="103"/>
      <c r="AP1626" s="103">
        <v>145</v>
      </c>
      <c r="AQ1626" s="103"/>
      <c r="AR1626" s="103"/>
      <c r="AS1626" s="103"/>
      <c r="AT1626" s="103"/>
      <c r="AU1626" s="103"/>
      <c r="AV1626" s="103"/>
      <c r="AW1626" s="104" t="str">
        <f>HYPERLINK("http://www.openstreetmap.org/?mlat=36.6243&amp;mlon=42.4649&amp;zoom=12#map=12/36.6243/42.4649","Maplink1")</f>
        <v>Maplink1</v>
      </c>
      <c r="AX1626" s="104" t="str">
        <f>HYPERLINK("https://www.google.iq/maps/search/+36.6243,42.4649/@36.6243,42.4649,14z?hl=en","Maplink2")</f>
        <v>Maplink2</v>
      </c>
      <c r="AY1626" s="104" t="str">
        <f>HYPERLINK("http://www.bing.com/maps/?lvl=14&amp;sty=h&amp;cp=36.6243~42.4649&amp;sp=point.36.6243_42.4649","Maplink3")</f>
        <v>Maplink3</v>
      </c>
    </row>
    <row r="1627" spans="1:51" x14ac:dyDescent="0.2">
      <c r="A1627" s="102">
        <v>17621</v>
      </c>
      <c r="B1627" s="103" t="s">
        <v>35</v>
      </c>
      <c r="C1627" s="103" t="s">
        <v>104</v>
      </c>
      <c r="D1627" s="103" t="s">
        <v>3327</v>
      </c>
      <c r="E1627" s="103" t="s">
        <v>3328</v>
      </c>
      <c r="F1627" s="103">
        <v>36.584802269999997</v>
      </c>
      <c r="G1627" s="103">
        <v>42.485208264400001</v>
      </c>
      <c r="H1627" s="102">
        <v>140</v>
      </c>
      <c r="I1627" s="102">
        <v>840</v>
      </c>
      <c r="J1627" s="103"/>
      <c r="K1627" s="103"/>
      <c r="L1627" s="103"/>
      <c r="M1627" s="103">
        <v>140</v>
      </c>
      <c r="N1627" s="103"/>
      <c r="O1627" s="103"/>
      <c r="P1627" s="103"/>
      <c r="Q1627" s="103"/>
      <c r="R1627" s="103"/>
      <c r="S1627" s="103"/>
      <c r="T1627" s="103"/>
      <c r="U1627" s="103"/>
      <c r="V1627" s="103"/>
      <c r="W1627" s="103"/>
      <c r="X1627" s="103"/>
      <c r="Y1627" s="103">
        <v>130</v>
      </c>
      <c r="Z1627" s="103"/>
      <c r="AA1627" s="103"/>
      <c r="AB1627" s="103"/>
      <c r="AC1627" s="103"/>
      <c r="AD1627" s="103"/>
      <c r="AE1627" s="103"/>
      <c r="AF1627" s="103"/>
      <c r="AG1627" s="103">
        <v>10</v>
      </c>
      <c r="AH1627" s="103"/>
      <c r="AI1627" s="103"/>
      <c r="AJ1627" s="103"/>
      <c r="AK1627" s="103"/>
      <c r="AL1627" s="103"/>
      <c r="AM1627" s="103"/>
      <c r="AN1627" s="103"/>
      <c r="AO1627" s="103">
        <v>140</v>
      </c>
      <c r="AP1627" s="103"/>
      <c r="AQ1627" s="103"/>
      <c r="AR1627" s="103"/>
      <c r="AS1627" s="103"/>
      <c r="AT1627" s="103"/>
      <c r="AU1627" s="103"/>
      <c r="AV1627" s="103"/>
      <c r="AW1627" s="104" t="str">
        <f>HYPERLINK("http://www.openstreetmap.org/?mlat=36.5848&amp;mlon=42.4852&amp;zoom=12#map=12/36.5848/42.4852","Maplink1")</f>
        <v>Maplink1</v>
      </c>
      <c r="AX1627" s="104" t="str">
        <f>HYPERLINK("https://www.google.iq/maps/search/+36.5848,42.4852/@36.5848,42.4852,14z?hl=en","Maplink2")</f>
        <v>Maplink2</v>
      </c>
      <c r="AY1627" s="104" t="str">
        <f>HYPERLINK("http://www.bing.com/maps/?lvl=14&amp;sty=h&amp;cp=36.5848~42.4852&amp;sp=point.36.5848_42.4852","Maplink3")</f>
        <v>Maplink3</v>
      </c>
    </row>
    <row r="1628" spans="1:51" x14ac:dyDescent="0.2">
      <c r="A1628" s="102">
        <v>17624</v>
      </c>
      <c r="B1628" s="103" t="s">
        <v>35</v>
      </c>
      <c r="C1628" s="103" t="s">
        <v>104</v>
      </c>
      <c r="D1628" s="103" t="s">
        <v>3329</v>
      </c>
      <c r="E1628" s="103" t="s">
        <v>3330</v>
      </c>
      <c r="F1628" s="103">
        <v>36.718336000000001</v>
      </c>
      <c r="G1628" s="103">
        <v>42.555694416100003</v>
      </c>
      <c r="H1628" s="102">
        <v>147</v>
      </c>
      <c r="I1628" s="102">
        <v>882</v>
      </c>
      <c r="J1628" s="103"/>
      <c r="K1628" s="103"/>
      <c r="L1628" s="103"/>
      <c r="M1628" s="103">
        <v>147</v>
      </c>
      <c r="N1628" s="103"/>
      <c r="O1628" s="103"/>
      <c r="P1628" s="103"/>
      <c r="Q1628" s="103"/>
      <c r="R1628" s="103"/>
      <c r="S1628" s="103"/>
      <c r="T1628" s="103"/>
      <c r="U1628" s="103"/>
      <c r="V1628" s="103"/>
      <c r="W1628" s="103"/>
      <c r="X1628" s="103"/>
      <c r="Y1628" s="103">
        <v>10</v>
      </c>
      <c r="Z1628" s="103"/>
      <c r="AA1628" s="103"/>
      <c r="AB1628" s="103"/>
      <c r="AC1628" s="103"/>
      <c r="AD1628" s="103"/>
      <c r="AE1628" s="103"/>
      <c r="AF1628" s="103"/>
      <c r="AG1628" s="103">
        <v>137</v>
      </c>
      <c r="AH1628" s="103"/>
      <c r="AI1628" s="103"/>
      <c r="AJ1628" s="103"/>
      <c r="AK1628" s="103"/>
      <c r="AL1628" s="103"/>
      <c r="AM1628" s="103"/>
      <c r="AN1628" s="103"/>
      <c r="AO1628" s="103">
        <v>147</v>
      </c>
      <c r="AP1628" s="103"/>
      <c r="AQ1628" s="103"/>
      <c r="AR1628" s="103"/>
      <c r="AS1628" s="103"/>
      <c r="AT1628" s="103"/>
      <c r="AU1628" s="103"/>
      <c r="AV1628" s="103"/>
      <c r="AW1628" s="104" t="str">
        <f>HYPERLINK("http://www.openstreetmap.org/?mlat=36.7183&amp;mlon=42.5557&amp;zoom=12#map=12/36.7183/42.5557","Maplink1")</f>
        <v>Maplink1</v>
      </c>
      <c r="AX1628" s="104" t="str">
        <f>HYPERLINK("https://www.google.iq/maps/search/+36.7183,42.5557/@36.7183,42.5557,14z?hl=en","Maplink2")</f>
        <v>Maplink2</v>
      </c>
      <c r="AY1628" s="104" t="str">
        <f>HYPERLINK("http://www.bing.com/maps/?lvl=14&amp;sty=h&amp;cp=36.7183~42.5557&amp;sp=point.36.7183_42.5557","Maplink3")</f>
        <v>Maplink3</v>
      </c>
    </row>
    <row r="1629" spans="1:51" x14ac:dyDescent="0.2">
      <c r="A1629" s="102">
        <v>33276</v>
      </c>
      <c r="B1629" s="103" t="s">
        <v>35</v>
      </c>
      <c r="C1629" s="103" t="s">
        <v>104</v>
      </c>
      <c r="D1629" s="103" t="s">
        <v>3021</v>
      </c>
      <c r="E1629" s="103" t="s">
        <v>589</v>
      </c>
      <c r="F1629" s="103">
        <v>36.367109999999997</v>
      </c>
      <c r="G1629" s="103">
        <v>42.454892700000002</v>
      </c>
      <c r="H1629" s="102">
        <v>1141</v>
      </c>
      <c r="I1629" s="102">
        <v>6846</v>
      </c>
      <c r="J1629" s="103">
        <v>10</v>
      </c>
      <c r="K1629" s="103"/>
      <c r="L1629" s="103">
        <v>28</v>
      </c>
      <c r="M1629" s="103">
        <v>1093</v>
      </c>
      <c r="N1629" s="103">
        <v>10</v>
      </c>
      <c r="O1629" s="103"/>
      <c r="P1629" s="103"/>
      <c r="Q1629" s="103"/>
      <c r="R1629" s="103"/>
      <c r="S1629" s="103"/>
      <c r="T1629" s="103"/>
      <c r="U1629" s="103"/>
      <c r="V1629" s="103">
        <v>143</v>
      </c>
      <c r="W1629" s="103">
        <v>115</v>
      </c>
      <c r="X1629" s="103">
        <v>10</v>
      </c>
      <c r="Y1629" s="103"/>
      <c r="Z1629" s="103"/>
      <c r="AA1629" s="103">
        <v>3</v>
      </c>
      <c r="AB1629" s="103">
        <v>372</v>
      </c>
      <c r="AC1629" s="103">
        <v>22</v>
      </c>
      <c r="AD1629" s="103"/>
      <c r="AE1629" s="103">
        <v>24</v>
      </c>
      <c r="AF1629" s="103">
        <v>446</v>
      </c>
      <c r="AG1629" s="103">
        <v>3</v>
      </c>
      <c r="AH1629" s="103">
        <v>3</v>
      </c>
      <c r="AI1629" s="103"/>
      <c r="AJ1629" s="103"/>
      <c r="AK1629" s="103"/>
      <c r="AL1629" s="103"/>
      <c r="AM1629" s="103"/>
      <c r="AN1629" s="103">
        <v>1141</v>
      </c>
      <c r="AO1629" s="103"/>
      <c r="AP1629" s="103"/>
      <c r="AQ1629" s="103"/>
      <c r="AR1629" s="103"/>
      <c r="AS1629" s="103"/>
      <c r="AT1629" s="103"/>
      <c r="AU1629" s="103"/>
      <c r="AV1629" s="103"/>
      <c r="AW1629" s="104" t="str">
        <f>HYPERLINK("http://www.openstreetmap.org/?mlat=36.3671&amp;mlon=42.4549&amp;zoom=12#map=12/36.3671/42.4549","Maplink1")</f>
        <v>Maplink1</v>
      </c>
      <c r="AX1629" s="104" t="str">
        <f>HYPERLINK("https://www.google.iq/maps/search/+36.3671,42.4549/@36.3671,42.4549,14z?hl=en","Maplink2")</f>
        <v>Maplink2</v>
      </c>
      <c r="AY1629" s="104" t="str">
        <f>HYPERLINK("http://www.bing.com/maps/?lvl=14&amp;sty=h&amp;cp=36.3671~42.4549&amp;sp=point.36.3671_42.4549","Maplink3")</f>
        <v>Maplink3</v>
      </c>
    </row>
    <row r="1630" spans="1:51" x14ac:dyDescent="0.2">
      <c r="A1630" s="102">
        <v>17727</v>
      </c>
      <c r="B1630" s="103" t="s">
        <v>35</v>
      </c>
      <c r="C1630" s="103" t="s">
        <v>104</v>
      </c>
      <c r="D1630" s="103" t="s">
        <v>3331</v>
      </c>
      <c r="E1630" s="103" t="s">
        <v>1982</v>
      </c>
      <c r="F1630" s="103">
        <v>36.520899999999997</v>
      </c>
      <c r="G1630" s="103">
        <v>42.496390181300001</v>
      </c>
      <c r="H1630" s="102">
        <v>145</v>
      </c>
      <c r="I1630" s="102">
        <v>870</v>
      </c>
      <c r="J1630" s="103"/>
      <c r="K1630" s="103"/>
      <c r="L1630" s="103"/>
      <c r="M1630" s="103">
        <v>80</v>
      </c>
      <c r="N1630" s="103">
        <v>65</v>
      </c>
      <c r="O1630" s="103"/>
      <c r="P1630" s="103"/>
      <c r="Q1630" s="103"/>
      <c r="R1630" s="103"/>
      <c r="S1630" s="103"/>
      <c r="T1630" s="103"/>
      <c r="U1630" s="103"/>
      <c r="V1630" s="103"/>
      <c r="W1630" s="103"/>
      <c r="X1630" s="103"/>
      <c r="Y1630" s="103"/>
      <c r="Z1630" s="103"/>
      <c r="AA1630" s="103"/>
      <c r="AB1630" s="103"/>
      <c r="AC1630" s="103"/>
      <c r="AD1630" s="103"/>
      <c r="AE1630" s="103"/>
      <c r="AF1630" s="103"/>
      <c r="AG1630" s="103">
        <v>145</v>
      </c>
      <c r="AH1630" s="103"/>
      <c r="AI1630" s="103"/>
      <c r="AJ1630" s="103"/>
      <c r="AK1630" s="103"/>
      <c r="AL1630" s="103"/>
      <c r="AM1630" s="103"/>
      <c r="AN1630" s="103"/>
      <c r="AO1630" s="103"/>
      <c r="AP1630" s="103">
        <v>145</v>
      </c>
      <c r="AQ1630" s="103"/>
      <c r="AR1630" s="103"/>
      <c r="AS1630" s="103"/>
      <c r="AT1630" s="103"/>
      <c r="AU1630" s="103"/>
      <c r="AV1630" s="103"/>
      <c r="AW1630" s="104" t="str">
        <f>HYPERLINK("http://www.openstreetmap.org/?mlat=36.5209&amp;mlon=42.4964&amp;zoom=12#map=12/36.5209/42.4964","Maplink1")</f>
        <v>Maplink1</v>
      </c>
      <c r="AX1630" s="104" t="str">
        <f>HYPERLINK("https://www.google.iq/maps/search/+36.5209,42.4964/@36.5209,42.4964,14z?hl=en","Maplink2")</f>
        <v>Maplink2</v>
      </c>
      <c r="AY1630" s="104" t="str">
        <f>HYPERLINK("http://www.bing.com/maps/?lvl=14&amp;sty=h&amp;cp=36.5209~42.4964&amp;sp=point.36.5209_42.4964","Maplink3")</f>
        <v>Maplink3</v>
      </c>
    </row>
    <row r="1631" spans="1:51" x14ac:dyDescent="0.2">
      <c r="A1631" s="102">
        <v>34047</v>
      </c>
      <c r="B1631" s="103" t="s">
        <v>35</v>
      </c>
      <c r="C1631" s="103" t="s">
        <v>104</v>
      </c>
      <c r="D1631" s="103" t="s">
        <v>3332</v>
      </c>
      <c r="E1631" s="103" t="s">
        <v>3333</v>
      </c>
      <c r="F1631" s="103">
        <v>36.388623000000003</v>
      </c>
      <c r="G1631" s="103">
        <v>42.455809000000002</v>
      </c>
      <c r="H1631" s="102">
        <v>612</v>
      </c>
      <c r="I1631" s="102">
        <v>3672</v>
      </c>
      <c r="J1631" s="103"/>
      <c r="K1631" s="103"/>
      <c r="L1631" s="103">
        <v>5</v>
      </c>
      <c r="M1631" s="103">
        <v>607</v>
      </c>
      <c r="N1631" s="103"/>
      <c r="O1631" s="103"/>
      <c r="P1631" s="103"/>
      <c r="Q1631" s="103"/>
      <c r="R1631" s="103"/>
      <c r="S1631" s="103"/>
      <c r="T1631" s="103"/>
      <c r="U1631" s="103"/>
      <c r="V1631" s="103">
        <v>57</v>
      </c>
      <c r="W1631" s="103">
        <v>73</v>
      </c>
      <c r="X1631" s="103"/>
      <c r="Y1631" s="103">
        <v>62</v>
      </c>
      <c r="Z1631" s="103"/>
      <c r="AA1631" s="103">
        <v>18</v>
      </c>
      <c r="AB1631" s="103">
        <v>70</v>
      </c>
      <c r="AC1631" s="103">
        <v>70</v>
      </c>
      <c r="AD1631" s="103"/>
      <c r="AE1631" s="103"/>
      <c r="AF1631" s="103">
        <v>67</v>
      </c>
      <c r="AG1631" s="103">
        <v>95</v>
      </c>
      <c r="AH1631" s="103"/>
      <c r="AI1631" s="103"/>
      <c r="AJ1631" s="103">
        <v>84</v>
      </c>
      <c r="AK1631" s="103">
        <v>15</v>
      </c>
      <c r="AL1631" s="103">
        <v>1</v>
      </c>
      <c r="AM1631" s="103"/>
      <c r="AN1631" s="103"/>
      <c r="AO1631" s="103">
        <v>612</v>
      </c>
      <c r="AP1631" s="103"/>
      <c r="AQ1631" s="103"/>
      <c r="AR1631" s="103"/>
      <c r="AS1631" s="103"/>
      <c r="AT1631" s="103"/>
      <c r="AU1631" s="103"/>
      <c r="AV1631" s="103"/>
      <c r="AW1631" s="104" t="str">
        <f>HYPERLINK("http://www.openstreetmap.org/?mlat=36.3886&amp;mlon=42.4558&amp;zoom=12#map=12/36.3886/42.4558","Maplink1")</f>
        <v>Maplink1</v>
      </c>
      <c r="AX1631" s="104" t="str">
        <f>HYPERLINK("https://www.google.iq/maps/search/+36.3886,42.4558/@36.3886,42.4558,14z?hl=en","Maplink2")</f>
        <v>Maplink2</v>
      </c>
      <c r="AY1631" s="104" t="str">
        <f>HYPERLINK("http://www.bing.com/maps/?lvl=14&amp;sty=h&amp;cp=36.3886~42.4558&amp;sp=point.36.3886_42.4558","Maplink3")</f>
        <v>Maplink3</v>
      </c>
    </row>
    <row r="1632" spans="1:51" x14ac:dyDescent="0.2">
      <c r="A1632" s="102">
        <v>22448</v>
      </c>
      <c r="B1632" s="103" t="s">
        <v>35</v>
      </c>
      <c r="C1632" s="103" t="s">
        <v>104</v>
      </c>
      <c r="D1632" s="103" t="s">
        <v>3265</v>
      </c>
      <c r="E1632" s="103" t="s">
        <v>3266</v>
      </c>
      <c r="F1632" s="103">
        <v>36.559621938900001</v>
      </c>
      <c r="G1632" s="103">
        <v>42.574689972999998</v>
      </c>
      <c r="H1632" s="102">
        <v>875</v>
      </c>
      <c r="I1632" s="102">
        <v>5250</v>
      </c>
      <c r="J1632" s="103"/>
      <c r="K1632" s="103"/>
      <c r="L1632" s="103"/>
      <c r="M1632" s="103">
        <v>870</v>
      </c>
      <c r="N1632" s="103">
        <v>5</v>
      </c>
      <c r="O1632" s="103"/>
      <c r="P1632" s="103"/>
      <c r="Q1632" s="103"/>
      <c r="R1632" s="103"/>
      <c r="S1632" s="103"/>
      <c r="T1632" s="103"/>
      <c r="U1632" s="103"/>
      <c r="V1632" s="103"/>
      <c r="W1632" s="103"/>
      <c r="X1632" s="103"/>
      <c r="Y1632" s="103">
        <v>725</v>
      </c>
      <c r="Z1632" s="103"/>
      <c r="AA1632" s="103"/>
      <c r="AB1632" s="103"/>
      <c r="AC1632" s="103"/>
      <c r="AD1632" s="103"/>
      <c r="AE1632" s="103"/>
      <c r="AF1632" s="103"/>
      <c r="AG1632" s="103">
        <v>150</v>
      </c>
      <c r="AH1632" s="103"/>
      <c r="AI1632" s="103"/>
      <c r="AJ1632" s="103"/>
      <c r="AK1632" s="103"/>
      <c r="AL1632" s="103"/>
      <c r="AM1632" s="103"/>
      <c r="AN1632" s="103"/>
      <c r="AO1632" s="103">
        <v>875</v>
      </c>
      <c r="AP1632" s="103"/>
      <c r="AQ1632" s="103"/>
      <c r="AR1632" s="103"/>
      <c r="AS1632" s="103"/>
      <c r="AT1632" s="103"/>
      <c r="AU1632" s="103"/>
      <c r="AV1632" s="103"/>
      <c r="AW1632" s="104" t="str">
        <f>HYPERLINK("http://www.openstreetmap.org/?mlat=36.5596&amp;mlon=42.5747&amp;zoom=12#map=12/36.5596/42.5747","Maplink1")</f>
        <v>Maplink1</v>
      </c>
      <c r="AX1632" s="104" t="str">
        <f>HYPERLINK("https://www.google.iq/maps/search/+36.5596,42.5747/@36.5596,42.5747,14z?hl=en","Maplink2")</f>
        <v>Maplink2</v>
      </c>
      <c r="AY1632" s="104" t="str">
        <f>HYPERLINK("http://www.bing.com/maps/?lvl=14&amp;sty=h&amp;cp=36.5596~42.5747&amp;sp=point.36.5596_42.5747","Maplink3")</f>
        <v>Maplink3</v>
      </c>
    </row>
    <row r="1633" spans="1:51" x14ac:dyDescent="0.2">
      <c r="A1633" s="102">
        <v>24908</v>
      </c>
      <c r="B1633" s="103" t="s">
        <v>35</v>
      </c>
      <c r="C1633" s="103" t="s">
        <v>104</v>
      </c>
      <c r="D1633" s="103" t="s">
        <v>3267</v>
      </c>
      <c r="E1633" s="103" t="s">
        <v>3268</v>
      </c>
      <c r="F1633" s="103">
        <v>36.745124627999999</v>
      </c>
      <c r="G1633" s="103">
        <v>42.470613810700002</v>
      </c>
      <c r="H1633" s="102">
        <v>380</v>
      </c>
      <c r="I1633" s="102">
        <v>2280</v>
      </c>
      <c r="J1633" s="103"/>
      <c r="K1633" s="103"/>
      <c r="L1633" s="103"/>
      <c r="M1633" s="103">
        <v>375</v>
      </c>
      <c r="N1633" s="103">
        <v>5</v>
      </c>
      <c r="O1633" s="103"/>
      <c r="P1633" s="103"/>
      <c r="Q1633" s="103"/>
      <c r="R1633" s="103"/>
      <c r="S1633" s="103"/>
      <c r="T1633" s="103"/>
      <c r="U1633" s="103"/>
      <c r="V1633" s="103"/>
      <c r="W1633" s="103"/>
      <c r="X1633" s="103"/>
      <c r="Y1633" s="103"/>
      <c r="Z1633" s="103"/>
      <c r="AA1633" s="103"/>
      <c r="AB1633" s="103"/>
      <c r="AC1633" s="103"/>
      <c r="AD1633" s="103"/>
      <c r="AE1633" s="103"/>
      <c r="AF1633" s="103"/>
      <c r="AG1633" s="103">
        <v>380</v>
      </c>
      <c r="AH1633" s="103"/>
      <c r="AI1633" s="103"/>
      <c r="AJ1633" s="103"/>
      <c r="AK1633" s="103"/>
      <c r="AL1633" s="103"/>
      <c r="AM1633" s="103"/>
      <c r="AN1633" s="103"/>
      <c r="AO1633" s="103">
        <v>380</v>
      </c>
      <c r="AP1633" s="103"/>
      <c r="AQ1633" s="103"/>
      <c r="AR1633" s="103"/>
      <c r="AS1633" s="103"/>
      <c r="AT1633" s="103"/>
      <c r="AU1633" s="103"/>
      <c r="AV1633" s="103"/>
      <c r="AW1633" s="104" t="str">
        <f>HYPERLINK("http://www.openstreetmap.org/?mlat=36.7451&amp;mlon=42.4706&amp;zoom=12#map=12/36.7451/42.4706","Maplink1")</f>
        <v>Maplink1</v>
      </c>
      <c r="AX1633" s="104" t="str">
        <f>HYPERLINK("https://www.google.iq/maps/search/+36.7451,42.4706/@36.7451,42.4706,14z?hl=en","Maplink2")</f>
        <v>Maplink2</v>
      </c>
      <c r="AY1633" s="104" t="str">
        <f>HYPERLINK("http://www.bing.com/maps/?lvl=14&amp;sty=h&amp;cp=36.7451~42.4706&amp;sp=point.36.7451_42.4706","Maplink3")</f>
        <v>Maplink3</v>
      </c>
    </row>
    <row r="1634" spans="1:51" x14ac:dyDescent="0.2">
      <c r="A1634" s="102">
        <v>27304</v>
      </c>
      <c r="B1634" s="103" t="s">
        <v>35</v>
      </c>
      <c r="C1634" s="103" t="s">
        <v>104</v>
      </c>
      <c r="D1634" s="103" t="s">
        <v>3269</v>
      </c>
      <c r="E1634" s="103" t="s">
        <v>3270</v>
      </c>
      <c r="F1634" s="103">
        <v>36.758748642299999</v>
      </c>
      <c r="G1634" s="103">
        <v>42.458946779500003</v>
      </c>
      <c r="H1634" s="102">
        <v>963</v>
      </c>
      <c r="I1634" s="102">
        <v>5778</v>
      </c>
      <c r="J1634" s="103"/>
      <c r="K1634" s="103"/>
      <c r="L1634" s="103"/>
      <c r="M1634" s="103">
        <v>963</v>
      </c>
      <c r="N1634" s="103"/>
      <c r="O1634" s="103"/>
      <c r="P1634" s="103"/>
      <c r="Q1634" s="103"/>
      <c r="R1634" s="103"/>
      <c r="S1634" s="103"/>
      <c r="T1634" s="103"/>
      <c r="U1634" s="103"/>
      <c r="V1634" s="103"/>
      <c r="W1634" s="103"/>
      <c r="X1634" s="103"/>
      <c r="Y1634" s="103"/>
      <c r="Z1634" s="103"/>
      <c r="AA1634" s="103"/>
      <c r="AB1634" s="103"/>
      <c r="AC1634" s="103"/>
      <c r="AD1634" s="103"/>
      <c r="AE1634" s="103"/>
      <c r="AF1634" s="103"/>
      <c r="AG1634" s="103">
        <v>963</v>
      </c>
      <c r="AH1634" s="103"/>
      <c r="AI1634" s="103"/>
      <c r="AJ1634" s="103"/>
      <c r="AK1634" s="103"/>
      <c r="AL1634" s="103"/>
      <c r="AM1634" s="103"/>
      <c r="AN1634" s="103"/>
      <c r="AO1634" s="103">
        <v>963</v>
      </c>
      <c r="AP1634" s="103"/>
      <c r="AQ1634" s="103"/>
      <c r="AR1634" s="103"/>
      <c r="AS1634" s="103"/>
      <c r="AT1634" s="103"/>
      <c r="AU1634" s="103"/>
      <c r="AV1634" s="103"/>
      <c r="AW1634" s="104" t="str">
        <f>HYPERLINK("http://www.openstreetmap.org/?mlat=36.7587&amp;mlon=42.4589&amp;zoom=12#map=12/36.7587/42.4589","Maplink1")</f>
        <v>Maplink1</v>
      </c>
      <c r="AX1634" s="104" t="str">
        <f>HYPERLINK("https://www.google.iq/maps/search/+36.7587,42.4589/@36.7587,42.4589,14z?hl=en","Maplink2")</f>
        <v>Maplink2</v>
      </c>
      <c r="AY1634" s="104" t="str">
        <f>HYPERLINK("http://www.bing.com/maps/?lvl=14&amp;sty=h&amp;cp=36.7587~42.4589&amp;sp=point.36.7587_42.4589","Maplink3")</f>
        <v>Maplink3</v>
      </c>
    </row>
    <row r="1635" spans="1:51" x14ac:dyDescent="0.2">
      <c r="A1635" s="102">
        <v>23648</v>
      </c>
      <c r="B1635" s="103" t="s">
        <v>35</v>
      </c>
      <c r="C1635" s="103" t="s">
        <v>104</v>
      </c>
      <c r="D1635" s="103" t="s">
        <v>3271</v>
      </c>
      <c r="E1635" s="103" t="s">
        <v>3272</v>
      </c>
      <c r="F1635" s="103">
        <v>37.013250499999998</v>
      </c>
      <c r="G1635" s="103">
        <v>42.34194814</v>
      </c>
      <c r="H1635" s="102">
        <v>175</v>
      </c>
      <c r="I1635" s="102">
        <v>1050</v>
      </c>
      <c r="J1635" s="103"/>
      <c r="K1635" s="103"/>
      <c r="L1635" s="103"/>
      <c r="M1635" s="103">
        <v>175</v>
      </c>
      <c r="N1635" s="103"/>
      <c r="O1635" s="103"/>
      <c r="P1635" s="103"/>
      <c r="Q1635" s="103"/>
      <c r="R1635" s="103"/>
      <c r="S1635" s="103"/>
      <c r="T1635" s="103"/>
      <c r="U1635" s="103"/>
      <c r="V1635" s="103"/>
      <c r="W1635" s="103"/>
      <c r="X1635" s="103"/>
      <c r="Y1635" s="103">
        <v>175</v>
      </c>
      <c r="Z1635" s="103"/>
      <c r="AA1635" s="103"/>
      <c r="AB1635" s="103"/>
      <c r="AC1635" s="103"/>
      <c r="AD1635" s="103"/>
      <c r="AE1635" s="103"/>
      <c r="AF1635" s="103"/>
      <c r="AG1635" s="103"/>
      <c r="AH1635" s="103"/>
      <c r="AI1635" s="103"/>
      <c r="AJ1635" s="103"/>
      <c r="AK1635" s="103"/>
      <c r="AL1635" s="103"/>
      <c r="AM1635" s="103"/>
      <c r="AN1635" s="103"/>
      <c r="AO1635" s="103"/>
      <c r="AP1635" s="103"/>
      <c r="AQ1635" s="103"/>
      <c r="AR1635" s="103"/>
      <c r="AS1635" s="103"/>
      <c r="AT1635" s="103">
        <v>175</v>
      </c>
      <c r="AU1635" s="103"/>
      <c r="AV1635" s="103"/>
      <c r="AW1635" s="104" t="str">
        <f>HYPERLINK("http://www.openstreetmap.org/?mlat=37.0133&amp;mlon=42.3419&amp;zoom=12#map=12/37.0133/42.3419","Maplink1")</f>
        <v>Maplink1</v>
      </c>
      <c r="AX1635" s="104" t="str">
        <f>HYPERLINK("https://www.google.iq/maps/search/+37.0133,42.3419/@37.0133,42.3419,14z?hl=en","Maplink2")</f>
        <v>Maplink2</v>
      </c>
      <c r="AY1635" s="104" t="str">
        <f>HYPERLINK("http://www.bing.com/maps/?lvl=14&amp;sty=h&amp;cp=37.0133~42.3419&amp;sp=point.37.0133_42.3419","Maplink3")</f>
        <v>Maplink3</v>
      </c>
    </row>
    <row r="1636" spans="1:51" x14ac:dyDescent="0.2">
      <c r="A1636" s="102">
        <v>17625</v>
      </c>
      <c r="B1636" s="103" t="s">
        <v>35</v>
      </c>
      <c r="C1636" s="103" t="s">
        <v>104</v>
      </c>
      <c r="D1636" s="103" t="s">
        <v>3273</v>
      </c>
      <c r="E1636" s="103" t="s">
        <v>3274</v>
      </c>
      <c r="F1636" s="103">
        <v>36.7393</v>
      </c>
      <c r="G1636" s="103">
        <v>42.535397876499999</v>
      </c>
      <c r="H1636" s="102">
        <v>305</v>
      </c>
      <c r="I1636" s="102">
        <v>1830</v>
      </c>
      <c r="J1636" s="103"/>
      <c r="K1636" s="103"/>
      <c r="L1636" s="103"/>
      <c r="M1636" s="103">
        <v>305</v>
      </c>
      <c r="N1636" s="103"/>
      <c r="O1636" s="103"/>
      <c r="P1636" s="103"/>
      <c r="Q1636" s="103"/>
      <c r="R1636" s="103"/>
      <c r="S1636" s="103"/>
      <c r="T1636" s="103"/>
      <c r="U1636" s="103"/>
      <c r="V1636" s="103"/>
      <c r="W1636" s="103"/>
      <c r="X1636" s="103"/>
      <c r="Y1636" s="103"/>
      <c r="Z1636" s="103"/>
      <c r="AA1636" s="103"/>
      <c r="AB1636" s="103"/>
      <c r="AC1636" s="103"/>
      <c r="AD1636" s="103"/>
      <c r="AE1636" s="103"/>
      <c r="AF1636" s="103"/>
      <c r="AG1636" s="103">
        <v>305</v>
      </c>
      <c r="AH1636" s="103"/>
      <c r="AI1636" s="103"/>
      <c r="AJ1636" s="103"/>
      <c r="AK1636" s="103"/>
      <c r="AL1636" s="103"/>
      <c r="AM1636" s="103"/>
      <c r="AN1636" s="103"/>
      <c r="AO1636" s="103">
        <v>305</v>
      </c>
      <c r="AP1636" s="103"/>
      <c r="AQ1636" s="103"/>
      <c r="AR1636" s="103"/>
      <c r="AS1636" s="103"/>
      <c r="AT1636" s="103"/>
      <c r="AU1636" s="103"/>
      <c r="AV1636" s="103"/>
      <c r="AW1636" s="104" t="str">
        <f>HYPERLINK("http://www.openstreetmap.org/?mlat=36.7393&amp;mlon=42.5354&amp;zoom=12#map=12/36.7393/42.5354","Maplink1")</f>
        <v>Maplink1</v>
      </c>
      <c r="AX1636" s="104" t="str">
        <f>HYPERLINK("https://www.google.iq/maps/search/+36.7393,42.5354/@36.7393,42.5354,14z?hl=en","Maplink2")</f>
        <v>Maplink2</v>
      </c>
      <c r="AY1636" s="104" t="str">
        <f>HYPERLINK("http://www.bing.com/maps/?lvl=14&amp;sty=h&amp;cp=36.7393~42.5354&amp;sp=point.36.7393_42.5354","Maplink3")</f>
        <v>Maplink3</v>
      </c>
    </row>
    <row r="1637" spans="1:51" x14ac:dyDescent="0.2">
      <c r="A1637" s="102">
        <v>23313</v>
      </c>
      <c r="B1637" s="103" t="s">
        <v>35</v>
      </c>
      <c r="C1637" s="103" t="s">
        <v>104</v>
      </c>
      <c r="D1637" s="103" t="s">
        <v>3275</v>
      </c>
      <c r="E1637" s="103" t="s">
        <v>585</v>
      </c>
      <c r="F1637" s="103">
        <v>36.378914999999999</v>
      </c>
      <c r="G1637" s="103">
        <v>42.450510000000001</v>
      </c>
      <c r="H1637" s="102">
        <v>240</v>
      </c>
      <c r="I1637" s="102">
        <v>1440</v>
      </c>
      <c r="J1637" s="103"/>
      <c r="K1637" s="103"/>
      <c r="L1637" s="103">
        <v>2</v>
      </c>
      <c r="M1637" s="103">
        <v>238</v>
      </c>
      <c r="N1637" s="103"/>
      <c r="O1637" s="103"/>
      <c r="P1637" s="103"/>
      <c r="Q1637" s="103"/>
      <c r="R1637" s="103"/>
      <c r="S1637" s="103"/>
      <c r="T1637" s="103"/>
      <c r="U1637" s="103"/>
      <c r="V1637" s="103">
        <v>32</v>
      </c>
      <c r="W1637" s="103">
        <v>56</v>
      </c>
      <c r="X1637" s="103"/>
      <c r="Y1637" s="103"/>
      <c r="Z1637" s="103"/>
      <c r="AA1637" s="103"/>
      <c r="AB1637" s="103">
        <v>54</v>
      </c>
      <c r="AC1637" s="103"/>
      <c r="AD1637" s="103"/>
      <c r="AE1637" s="103"/>
      <c r="AF1637" s="103">
        <v>98</v>
      </c>
      <c r="AG1637" s="103"/>
      <c r="AH1637" s="103"/>
      <c r="AI1637" s="103"/>
      <c r="AJ1637" s="103"/>
      <c r="AK1637" s="103"/>
      <c r="AL1637" s="103"/>
      <c r="AM1637" s="103"/>
      <c r="AN1637" s="103">
        <v>240</v>
      </c>
      <c r="AO1637" s="103"/>
      <c r="AP1637" s="103"/>
      <c r="AQ1637" s="103"/>
      <c r="AR1637" s="103"/>
      <c r="AS1637" s="103"/>
      <c r="AT1637" s="103"/>
      <c r="AU1637" s="103"/>
      <c r="AV1637" s="103"/>
      <c r="AW1637" s="104" t="str">
        <f>HYPERLINK("http://www.openstreetmap.org/?mlat=36.3789&amp;mlon=42.4505&amp;zoom=12#map=12/36.3789/42.4505","Maplink1")</f>
        <v>Maplink1</v>
      </c>
      <c r="AX1637" s="104" t="str">
        <f>HYPERLINK("https://www.google.iq/maps/search/+36.3789,42.4505/@36.3789,42.4505,14z?hl=en","Maplink2")</f>
        <v>Maplink2</v>
      </c>
      <c r="AY1637" s="104" t="str">
        <f>HYPERLINK("http://www.bing.com/maps/?lvl=14&amp;sty=h&amp;cp=36.3789~42.4505&amp;sp=point.36.3789_42.4505","Maplink3")</f>
        <v>Maplink3</v>
      </c>
    </row>
    <row r="1638" spans="1:51" x14ac:dyDescent="0.2">
      <c r="A1638" s="102">
        <v>18305</v>
      </c>
      <c r="B1638" s="103" t="s">
        <v>35</v>
      </c>
      <c r="C1638" s="103" t="s">
        <v>104</v>
      </c>
      <c r="D1638" s="103" t="s">
        <v>3309</v>
      </c>
      <c r="E1638" s="103" t="s">
        <v>2462</v>
      </c>
      <c r="F1638" s="103">
        <v>36.380954000000003</v>
      </c>
      <c r="G1638" s="103">
        <v>42.454282999999997</v>
      </c>
      <c r="H1638" s="102">
        <v>479</v>
      </c>
      <c r="I1638" s="102">
        <v>2874</v>
      </c>
      <c r="J1638" s="103"/>
      <c r="K1638" s="103"/>
      <c r="L1638" s="103">
        <v>5</v>
      </c>
      <c r="M1638" s="103">
        <v>474</v>
      </c>
      <c r="N1638" s="103"/>
      <c r="O1638" s="103"/>
      <c r="P1638" s="103"/>
      <c r="Q1638" s="103"/>
      <c r="R1638" s="103"/>
      <c r="S1638" s="103"/>
      <c r="T1638" s="103"/>
      <c r="U1638" s="103"/>
      <c r="V1638" s="103">
        <v>49</v>
      </c>
      <c r="W1638" s="103">
        <v>62</v>
      </c>
      <c r="X1638" s="103"/>
      <c r="Y1638" s="103">
        <v>20</v>
      </c>
      <c r="Z1638" s="103"/>
      <c r="AA1638" s="103">
        <v>5</v>
      </c>
      <c r="AB1638" s="103">
        <v>62</v>
      </c>
      <c r="AC1638" s="103">
        <v>90</v>
      </c>
      <c r="AD1638" s="103"/>
      <c r="AE1638" s="103"/>
      <c r="AF1638" s="103">
        <v>74</v>
      </c>
      <c r="AG1638" s="103">
        <v>65</v>
      </c>
      <c r="AH1638" s="103"/>
      <c r="AI1638" s="103"/>
      <c r="AJ1638" s="103">
        <v>43</v>
      </c>
      <c r="AK1638" s="103">
        <v>4</v>
      </c>
      <c r="AL1638" s="103">
        <v>5</v>
      </c>
      <c r="AM1638" s="103"/>
      <c r="AN1638" s="103"/>
      <c r="AO1638" s="103">
        <v>479</v>
      </c>
      <c r="AP1638" s="103"/>
      <c r="AQ1638" s="103"/>
      <c r="AR1638" s="103"/>
      <c r="AS1638" s="103"/>
      <c r="AT1638" s="103"/>
      <c r="AU1638" s="103"/>
      <c r="AV1638" s="103"/>
      <c r="AW1638" s="104" t="str">
        <f>HYPERLINK("http://www.openstreetmap.org/?mlat=36.381&amp;mlon=42.4543&amp;zoom=12#map=12/36.381/42.4543","Maplink1")</f>
        <v>Maplink1</v>
      </c>
      <c r="AX1638" s="104" t="str">
        <f>HYPERLINK("https://www.google.iq/maps/search/+36.381,42.4543/@36.381,42.4543,14z?hl=en","Maplink2")</f>
        <v>Maplink2</v>
      </c>
      <c r="AY1638" s="104" t="str">
        <f>HYPERLINK("http://www.bing.com/maps/?lvl=14&amp;sty=h&amp;cp=36.381~42.4543&amp;sp=point.36.381_42.4543","Maplink3")</f>
        <v>Maplink3</v>
      </c>
    </row>
    <row r="1639" spans="1:51" x14ac:dyDescent="0.2">
      <c r="A1639" s="102">
        <v>25980</v>
      </c>
      <c r="B1639" s="103" t="s">
        <v>35</v>
      </c>
      <c r="C1639" s="103" t="s">
        <v>104</v>
      </c>
      <c r="D1639" s="103" t="s">
        <v>3310</v>
      </c>
      <c r="E1639" s="103" t="s">
        <v>3311</v>
      </c>
      <c r="F1639" s="103">
        <v>36.827506655599997</v>
      </c>
      <c r="G1639" s="103">
        <v>42.139524696300001</v>
      </c>
      <c r="H1639" s="102">
        <v>15</v>
      </c>
      <c r="I1639" s="102">
        <v>90</v>
      </c>
      <c r="J1639" s="103"/>
      <c r="K1639" s="103"/>
      <c r="L1639" s="103"/>
      <c r="M1639" s="103">
        <v>13</v>
      </c>
      <c r="N1639" s="103">
        <v>2</v>
      </c>
      <c r="O1639" s="103"/>
      <c r="P1639" s="103"/>
      <c r="Q1639" s="103"/>
      <c r="R1639" s="103"/>
      <c r="S1639" s="103"/>
      <c r="T1639" s="103"/>
      <c r="U1639" s="103"/>
      <c r="V1639" s="103"/>
      <c r="W1639" s="103"/>
      <c r="X1639" s="103"/>
      <c r="Y1639" s="103"/>
      <c r="Z1639" s="103"/>
      <c r="AA1639" s="103"/>
      <c r="AB1639" s="103"/>
      <c r="AC1639" s="103"/>
      <c r="AD1639" s="103"/>
      <c r="AE1639" s="103"/>
      <c r="AF1639" s="103"/>
      <c r="AG1639" s="103">
        <v>15</v>
      </c>
      <c r="AH1639" s="103"/>
      <c r="AI1639" s="103"/>
      <c r="AJ1639" s="103"/>
      <c r="AK1639" s="103"/>
      <c r="AL1639" s="103"/>
      <c r="AM1639" s="103"/>
      <c r="AN1639" s="103"/>
      <c r="AO1639" s="103"/>
      <c r="AP1639" s="103"/>
      <c r="AQ1639" s="103"/>
      <c r="AR1639" s="103"/>
      <c r="AS1639" s="103"/>
      <c r="AT1639" s="103">
        <v>15</v>
      </c>
      <c r="AU1639" s="103"/>
      <c r="AV1639" s="103"/>
      <c r="AW1639" s="104" t="str">
        <f>HYPERLINK("http://www.openstreetmap.org/?mlat=36.8275&amp;mlon=42.1395&amp;zoom=12#map=12/36.8275/42.1395","Maplink1")</f>
        <v>Maplink1</v>
      </c>
      <c r="AX1639" s="104" t="str">
        <f>HYPERLINK("https://www.google.iq/maps/search/+36.8275,42.1395/@36.8275,42.1395,14z?hl=en","Maplink2")</f>
        <v>Maplink2</v>
      </c>
      <c r="AY1639" s="104" t="str">
        <f>HYPERLINK("http://www.bing.com/maps/?lvl=14&amp;sty=h&amp;cp=36.8275~42.1395&amp;sp=point.36.8275_42.1395","Maplink3")</f>
        <v>Maplink3</v>
      </c>
    </row>
    <row r="1640" spans="1:51" x14ac:dyDescent="0.2">
      <c r="A1640" s="102">
        <v>17620</v>
      </c>
      <c r="B1640" s="103" t="s">
        <v>35</v>
      </c>
      <c r="C1640" s="103" t="s">
        <v>104</v>
      </c>
      <c r="D1640" s="103" t="s">
        <v>3312</v>
      </c>
      <c r="E1640" s="103" t="s">
        <v>3313</v>
      </c>
      <c r="F1640" s="103">
        <v>36.719499999999996</v>
      </c>
      <c r="G1640" s="103">
        <v>42.528731039999997</v>
      </c>
      <c r="H1640" s="102">
        <v>105</v>
      </c>
      <c r="I1640" s="102">
        <v>630</v>
      </c>
      <c r="J1640" s="103"/>
      <c r="K1640" s="103"/>
      <c r="L1640" s="103"/>
      <c r="M1640" s="103">
        <v>105</v>
      </c>
      <c r="N1640" s="103"/>
      <c r="O1640" s="103"/>
      <c r="P1640" s="103"/>
      <c r="Q1640" s="103"/>
      <c r="R1640" s="103"/>
      <c r="S1640" s="103"/>
      <c r="T1640" s="103"/>
      <c r="U1640" s="103"/>
      <c r="V1640" s="103"/>
      <c r="W1640" s="103"/>
      <c r="X1640" s="103"/>
      <c r="Y1640" s="103"/>
      <c r="Z1640" s="103"/>
      <c r="AA1640" s="103"/>
      <c r="AB1640" s="103"/>
      <c r="AC1640" s="103"/>
      <c r="AD1640" s="103"/>
      <c r="AE1640" s="103"/>
      <c r="AF1640" s="103"/>
      <c r="AG1640" s="103">
        <v>105</v>
      </c>
      <c r="AH1640" s="103"/>
      <c r="AI1640" s="103"/>
      <c r="AJ1640" s="103"/>
      <c r="AK1640" s="103"/>
      <c r="AL1640" s="103"/>
      <c r="AM1640" s="103"/>
      <c r="AN1640" s="103"/>
      <c r="AO1640" s="103">
        <v>105</v>
      </c>
      <c r="AP1640" s="103"/>
      <c r="AQ1640" s="103"/>
      <c r="AR1640" s="103"/>
      <c r="AS1640" s="103"/>
      <c r="AT1640" s="103"/>
      <c r="AU1640" s="103"/>
      <c r="AV1640" s="103"/>
      <c r="AW1640" s="104" t="str">
        <f>HYPERLINK("http://www.openstreetmap.org/?mlat=36.7195&amp;mlon=42.5287&amp;zoom=12#map=12/36.7195/42.5287","Maplink1")</f>
        <v>Maplink1</v>
      </c>
      <c r="AX1640" s="104" t="str">
        <f>HYPERLINK("https://www.google.iq/maps/search/+36.7195,42.5287/@36.7195,42.5287,14z?hl=en","Maplink2")</f>
        <v>Maplink2</v>
      </c>
      <c r="AY1640" s="104" t="str">
        <f>HYPERLINK("http://www.bing.com/maps/?lvl=14&amp;sty=h&amp;cp=36.7195~42.5287&amp;sp=point.36.7195_42.5287","Maplink3")</f>
        <v>Maplink3</v>
      </c>
    </row>
    <row r="1641" spans="1:51" x14ac:dyDescent="0.2">
      <c r="A1641" s="102">
        <v>33268</v>
      </c>
      <c r="B1641" s="103" t="s">
        <v>35</v>
      </c>
      <c r="C1641" s="103" t="s">
        <v>104</v>
      </c>
      <c r="D1641" s="103" t="s">
        <v>3314</v>
      </c>
      <c r="E1641" s="103" t="s">
        <v>3315</v>
      </c>
      <c r="F1641" s="103">
        <v>37.0349</v>
      </c>
      <c r="G1641" s="103">
        <v>42.367600000000003</v>
      </c>
      <c r="H1641" s="102">
        <v>100</v>
      </c>
      <c r="I1641" s="102">
        <v>600</v>
      </c>
      <c r="J1641" s="103"/>
      <c r="K1641" s="103"/>
      <c r="L1641" s="103"/>
      <c r="M1641" s="103">
        <v>100</v>
      </c>
      <c r="N1641" s="103"/>
      <c r="O1641" s="103"/>
      <c r="P1641" s="103"/>
      <c r="Q1641" s="103"/>
      <c r="R1641" s="103"/>
      <c r="S1641" s="103"/>
      <c r="T1641" s="103"/>
      <c r="U1641" s="103"/>
      <c r="V1641" s="103"/>
      <c r="W1641" s="103"/>
      <c r="X1641" s="103"/>
      <c r="Y1641" s="103">
        <v>100</v>
      </c>
      <c r="Z1641" s="103"/>
      <c r="AA1641" s="103"/>
      <c r="AB1641" s="103"/>
      <c r="AC1641" s="103"/>
      <c r="AD1641" s="103"/>
      <c r="AE1641" s="103"/>
      <c r="AF1641" s="103"/>
      <c r="AG1641" s="103"/>
      <c r="AH1641" s="103"/>
      <c r="AI1641" s="103"/>
      <c r="AJ1641" s="103"/>
      <c r="AK1641" s="103"/>
      <c r="AL1641" s="103"/>
      <c r="AM1641" s="103"/>
      <c r="AN1641" s="103"/>
      <c r="AO1641" s="103"/>
      <c r="AP1641" s="103"/>
      <c r="AQ1641" s="103"/>
      <c r="AR1641" s="103"/>
      <c r="AS1641" s="103"/>
      <c r="AT1641" s="103">
        <v>100</v>
      </c>
      <c r="AU1641" s="103"/>
      <c r="AV1641" s="103"/>
      <c r="AW1641" s="104" t="str">
        <f>HYPERLINK("http://www.openstreetmap.org/?mlat=37.0349&amp;mlon=42.3676&amp;zoom=12#map=12/37.0349/42.3676","Maplink1")</f>
        <v>Maplink1</v>
      </c>
      <c r="AX1641" s="104" t="str">
        <f>HYPERLINK("https://www.google.iq/maps/search/+37.0349,42.3676/@37.0349,42.3676,14z?hl=en","Maplink2")</f>
        <v>Maplink2</v>
      </c>
      <c r="AY1641" s="104" t="str">
        <f>HYPERLINK("http://www.bing.com/maps/?lvl=14&amp;sty=h&amp;cp=37.0349~42.3676&amp;sp=point.37.0349_42.3676","Maplink3")</f>
        <v>Maplink3</v>
      </c>
    </row>
    <row r="1642" spans="1:51" x14ac:dyDescent="0.2">
      <c r="A1642" s="102">
        <v>33408</v>
      </c>
      <c r="B1642" s="103" t="s">
        <v>35</v>
      </c>
      <c r="C1642" s="103" t="s">
        <v>104</v>
      </c>
      <c r="D1642" s="103" t="s">
        <v>3316</v>
      </c>
      <c r="E1642" s="103" t="s">
        <v>1642</v>
      </c>
      <c r="F1642" s="103">
        <v>36.658000000000001</v>
      </c>
      <c r="G1642" s="103">
        <v>42.530921454100003</v>
      </c>
      <c r="H1642" s="102">
        <v>37</v>
      </c>
      <c r="I1642" s="102">
        <v>222</v>
      </c>
      <c r="J1642" s="103"/>
      <c r="K1642" s="103"/>
      <c r="L1642" s="103"/>
      <c r="M1642" s="103">
        <v>37</v>
      </c>
      <c r="N1642" s="103"/>
      <c r="O1642" s="103"/>
      <c r="P1642" s="103"/>
      <c r="Q1642" s="103"/>
      <c r="R1642" s="103"/>
      <c r="S1642" s="103"/>
      <c r="T1642" s="103"/>
      <c r="U1642" s="103"/>
      <c r="V1642" s="103"/>
      <c r="W1642" s="103"/>
      <c r="X1642" s="103"/>
      <c r="Y1642" s="103"/>
      <c r="Z1642" s="103"/>
      <c r="AA1642" s="103"/>
      <c r="AB1642" s="103"/>
      <c r="AC1642" s="103"/>
      <c r="AD1642" s="103"/>
      <c r="AE1642" s="103"/>
      <c r="AF1642" s="103"/>
      <c r="AG1642" s="103">
        <v>37</v>
      </c>
      <c r="AH1642" s="103"/>
      <c r="AI1642" s="103"/>
      <c r="AJ1642" s="103"/>
      <c r="AK1642" s="103"/>
      <c r="AL1642" s="103"/>
      <c r="AM1642" s="103"/>
      <c r="AN1642" s="103"/>
      <c r="AO1642" s="103">
        <v>37</v>
      </c>
      <c r="AP1642" s="103"/>
      <c r="AQ1642" s="103"/>
      <c r="AR1642" s="103"/>
      <c r="AS1642" s="103"/>
      <c r="AT1642" s="103"/>
      <c r="AU1642" s="103"/>
      <c r="AV1642" s="103"/>
      <c r="AW1642" s="104" t="str">
        <f>HYPERLINK("http://www.openstreetmap.org/?mlat=36.658&amp;mlon=42.5309&amp;zoom=12#map=12/36.658/42.5309","Maplink1")</f>
        <v>Maplink1</v>
      </c>
      <c r="AX1642" s="104" t="str">
        <f>HYPERLINK("https://www.google.iq/maps/search/+36.658,42.5309/@36.658,42.5309,14z?hl=en","Maplink2")</f>
        <v>Maplink2</v>
      </c>
      <c r="AY1642" s="104" t="str">
        <f>HYPERLINK("http://www.bing.com/maps/?lvl=14&amp;sty=h&amp;cp=36.658~42.5309&amp;sp=point.36.658_42.5309","Maplink3")</f>
        <v>Maplink3</v>
      </c>
    </row>
    <row r="1643" spans="1:51" x14ac:dyDescent="0.2">
      <c r="A1643" s="102">
        <v>24906</v>
      </c>
      <c r="B1643" s="103" t="s">
        <v>35</v>
      </c>
      <c r="C1643" s="103" t="s">
        <v>104</v>
      </c>
      <c r="D1643" s="103" t="s">
        <v>3363</v>
      </c>
      <c r="E1643" s="103" t="s">
        <v>3364</v>
      </c>
      <c r="F1643" s="103">
        <v>36.592650326600001</v>
      </c>
      <c r="G1643" s="103">
        <v>42.613976332500002</v>
      </c>
      <c r="H1643" s="102">
        <v>127</v>
      </c>
      <c r="I1643" s="102">
        <v>762</v>
      </c>
      <c r="J1643" s="103"/>
      <c r="K1643" s="103"/>
      <c r="L1643" s="103"/>
      <c r="M1643" s="103">
        <v>127</v>
      </c>
      <c r="N1643" s="103"/>
      <c r="O1643" s="103"/>
      <c r="P1643" s="103"/>
      <c r="Q1643" s="103"/>
      <c r="R1643" s="103"/>
      <c r="S1643" s="103"/>
      <c r="T1643" s="103"/>
      <c r="U1643" s="103"/>
      <c r="V1643" s="103"/>
      <c r="W1643" s="103"/>
      <c r="X1643" s="103"/>
      <c r="Y1643" s="103">
        <v>127</v>
      </c>
      <c r="Z1643" s="103"/>
      <c r="AA1643" s="103"/>
      <c r="AB1643" s="103"/>
      <c r="AC1643" s="103"/>
      <c r="AD1643" s="103"/>
      <c r="AE1643" s="103"/>
      <c r="AF1643" s="103"/>
      <c r="AG1643" s="103"/>
      <c r="AH1643" s="103"/>
      <c r="AI1643" s="103"/>
      <c r="AJ1643" s="103"/>
      <c r="AK1643" s="103"/>
      <c r="AL1643" s="103"/>
      <c r="AM1643" s="103"/>
      <c r="AN1643" s="103"/>
      <c r="AO1643" s="103">
        <v>127</v>
      </c>
      <c r="AP1643" s="103"/>
      <c r="AQ1643" s="103"/>
      <c r="AR1643" s="103"/>
      <c r="AS1643" s="103"/>
      <c r="AT1643" s="103"/>
      <c r="AU1643" s="103"/>
      <c r="AV1643" s="103"/>
      <c r="AW1643" s="104" t="str">
        <f>HYPERLINK("http://www.openstreetmap.org/?mlat=36.5927&amp;mlon=42.614&amp;zoom=12#map=12/36.5927/42.614","Maplink1")</f>
        <v>Maplink1</v>
      </c>
      <c r="AX1643" s="104" t="str">
        <f>HYPERLINK("https://www.google.iq/maps/search/+36.5927,42.614/@36.5927,42.614,14z?hl=en","Maplink2")</f>
        <v>Maplink2</v>
      </c>
      <c r="AY1643" s="104" t="str">
        <f>HYPERLINK("http://www.bing.com/maps/?lvl=14&amp;sty=h&amp;cp=36.5927~42.614&amp;sp=point.36.5927_42.614","Maplink3")</f>
        <v>Maplink3</v>
      </c>
    </row>
    <row r="1644" spans="1:51" x14ac:dyDescent="0.2">
      <c r="A1644" s="102">
        <v>17942</v>
      </c>
      <c r="B1644" s="103" t="s">
        <v>35</v>
      </c>
      <c r="C1644" s="103" t="s">
        <v>104</v>
      </c>
      <c r="D1644" s="103" t="s">
        <v>3365</v>
      </c>
      <c r="E1644" s="103" t="s">
        <v>3366</v>
      </c>
      <c r="F1644" s="103">
        <v>36.546208023399998</v>
      </c>
      <c r="G1644" s="103">
        <v>42.657194479300003</v>
      </c>
      <c r="H1644" s="102">
        <v>55</v>
      </c>
      <c r="I1644" s="102">
        <v>330</v>
      </c>
      <c r="J1644" s="103"/>
      <c r="K1644" s="103"/>
      <c r="L1644" s="103"/>
      <c r="M1644" s="103">
        <v>55</v>
      </c>
      <c r="N1644" s="103"/>
      <c r="O1644" s="103"/>
      <c r="P1644" s="103"/>
      <c r="Q1644" s="103"/>
      <c r="R1644" s="103"/>
      <c r="S1644" s="103"/>
      <c r="T1644" s="103"/>
      <c r="U1644" s="103"/>
      <c r="V1644" s="103"/>
      <c r="W1644" s="103"/>
      <c r="X1644" s="103"/>
      <c r="Y1644" s="103">
        <v>6</v>
      </c>
      <c r="Z1644" s="103"/>
      <c r="AA1644" s="103"/>
      <c r="AB1644" s="103"/>
      <c r="AC1644" s="103"/>
      <c r="AD1644" s="103"/>
      <c r="AE1644" s="103"/>
      <c r="AF1644" s="103"/>
      <c r="AG1644" s="103">
        <v>49</v>
      </c>
      <c r="AH1644" s="103"/>
      <c r="AI1644" s="103"/>
      <c r="AJ1644" s="103"/>
      <c r="AK1644" s="103"/>
      <c r="AL1644" s="103"/>
      <c r="AM1644" s="103"/>
      <c r="AN1644" s="103"/>
      <c r="AO1644" s="103">
        <v>55</v>
      </c>
      <c r="AP1644" s="103"/>
      <c r="AQ1644" s="103"/>
      <c r="AR1644" s="103"/>
      <c r="AS1644" s="103"/>
      <c r="AT1644" s="103"/>
      <c r="AU1644" s="103"/>
      <c r="AV1644" s="103"/>
      <c r="AW1644" s="104" t="str">
        <f>HYPERLINK("http://www.openstreetmap.org/?mlat=36.5462&amp;mlon=42.6572&amp;zoom=12#map=12/36.5462/42.6572","Maplink1")</f>
        <v>Maplink1</v>
      </c>
      <c r="AX1644" s="104" t="str">
        <f>HYPERLINK("https://www.google.iq/maps/search/+36.5462,42.6572/@36.5462,42.6572,14z?hl=en","Maplink2")</f>
        <v>Maplink2</v>
      </c>
      <c r="AY1644" s="104" t="str">
        <f>HYPERLINK("http://www.bing.com/maps/?lvl=14&amp;sty=h&amp;cp=36.5462~42.6572&amp;sp=point.36.5462_42.6572","Maplink3")</f>
        <v>Maplink3</v>
      </c>
    </row>
    <row r="1645" spans="1:51" x14ac:dyDescent="0.2">
      <c r="A1645" s="102">
        <v>25808</v>
      </c>
      <c r="B1645" s="103" t="s">
        <v>35</v>
      </c>
      <c r="C1645" s="103" t="s">
        <v>104</v>
      </c>
      <c r="D1645" s="103" t="s">
        <v>3367</v>
      </c>
      <c r="E1645" s="103" t="s">
        <v>3368</v>
      </c>
      <c r="F1645" s="103">
        <v>36.804834915900003</v>
      </c>
      <c r="G1645" s="103">
        <v>42.086717302799997</v>
      </c>
      <c r="H1645" s="102">
        <v>508</v>
      </c>
      <c r="I1645" s="102">
        <v>3048</v>
      </c>
      <c r="J1645" s="103"/>
      <c r="K1645" s="103"/>
      <c r="L1645" s="103"/>
      <c r="M1645" s="103">
        <v>508</v>
      </c>
      <c r="N1645" s="103"/>
      <c r="O1645" s="103"/>
      <c r="P1645" s="103"/>
      <c r="Q1645" s="103"/>
      <c r="R1645" s="103"/>
      <c r="S1645" s="103"/>
      <c r="T1645" s="103"/>
      <c r="U1645" s="103"/>
      <c r="V1645" s="103"/>
      <c r="W1645" s="103"/>
      <c r="X1645" s="103"/>
      <c r="Y1645" s="103"/>
      <c r="Z1645" s="103"/>
      <c r="AA1645" s="103"/>
      <c r="AB1645" s="103"/>
      <c r="AC1645" s="103"/>
      <c r="AD1645" s="103"/>
      <c r="AE1645" s="103"/>
      <c r="AF1645" s="103"/>
      <c r="AG1645" s="103">
        <v>508</v>
      </c>
      <c r="AH1645" s="103"/>
      <c r="AI1645" s="103"/>
      <c r="AJ1645" s="103"/>
      <c r="AK1645" s="103"/>
      <c r="AL1645" s="103"/>
      <c r="AM1645" s="103"/>
      <c r="AN1645" s="103"/>
      <c r="AO1645" s="103">
        <v>508</v>
      </c>
      <c r="AP1645" s="103"/>
      <c r="AQ1645" s="103"/>
      <c r="AR1645" s="103"/>
      <c r="AS1645" s="103"/>
      <c r="AT1645" s="103"/>
      <c r="AU1645" s="103"/>
      <c r="AV1645" s="103"/>
      <c r="AW1645" s="104" t="str">
        <f>HYPERLINK("http://www.openstreetmap.org/?mlat=36.8048&amp;mlon=42.0867&amp;zoom=12#map=12/36.8048/42.0867","Maplink1")</f>
        <v>Maplink1</v>
      </c>
      <c r="AX1645" s="104" t="str">
        <f>HYPERLINK("https://www.google.iq/maps/search/+36.8048,42.0867/@36.8048,42.0867,14z?hl=en","Maplink2")</f>
        <v>Maplink2</v>
      </c>
      <c r="AY1645" s="104" t="str">
        <f>HYPERLINK("http://www.bing.com/maps/?lvl=14&amp;sty=h&amp;cp=36.8048~42.0867&amp;sp=point.36.8048_42.0867","Maplink3")</f>
        <v>Maplink3</v>
      </c>
    </row>
    <row r="1646" spans="1:51" x14ac:dyDescent="0.2">
      <c r="A1646" s="102">
        <v>27352</v>
      </c>
      <c r="B1646" s="103" t="s">
        <v>35</v>
      </c>
      <c r="C1646" s="103" t="s">
        <v>104</v>
      </c>
      <c r="D1646" s="103" t="s">
        <v>3369</v>
      </c>
      <c r="E1646" s="103" t="s">
        <v>3370</v>
      </c>
      <c r="F1646" s="103">
        <v>36.931713039999998</v>
      </c>
      <c r="G1646" s="103">
        <v>42.360318309999997</v>
      </c>
      <c r="H1646" s="102">
        <v>60</v>
      </c>
      <c r="I1646" s="102">
        <v>360</v>
      </c>
      <c r="J1646" s="103"/>
      <c r="K1646" s="103"/>
      <c r="L1646" s="103"/>
      <c r="M1646" s="103">
        <v>60</v>
      </c>
      <c r="N1646" s="103"/>
      <c r="O1646" s="103"/>
      <c r="P1646" s="103"/>
      <c r="Q1646" s="103"/>
      <c r="R1646" s="103"/>
      <c r="S1646" s="103"/>
      <c r="T1646" s="103"/>
      <c r="U1646" s="103"/>
      <c r="V1646" s="103"/>
      <c r="W1646" s="103"/>
      <c r="X1646" s="103"/>
      <c r="Y1646" s="103">
        <v>60</v>
      </c>
      <c r="Z1646" s="103"/>
      <c r="AA1646" s="103"/>
      <c r="AB1646" s="103"/>
      <c r="AC1646" s="103"/>
      <c r="AD1646" s="103"/>
      <c r="AE1646" s="103"/>
      <c r="AF1646" s="103"/>
      <c r="AG1646" s="103"/>
      <c r="AH1646" s="103"/>
      <c r="AI1646" s="103"/>
      <c r="AJ1646" s="103"/>
      <c r="AK1646" s="103"/>
      <c r="AL1646" s="103"/>
      <c r="AM1646" s="103"/>
      <c r="AN1646" s="103"/>
      <c r="AO1646" s="103"/>
      <c r="AP1646" s="103"/>
      <c r="AQ1646" s="103"/>
      <c r="AR1646" s="103"/>
      <c r="AS1646" s="103"/>
      <c r="AT1646" s="103">
        <v>60</v>
      </c>
      <c r="AU1646" s="103"/>
      <c r="AV1646" s="103"/>
      <c r="AW1646" s="104" t="str">
        <f>HYPERLINK("http://www.openstreetmap.org/?mlat=36.9317&amp;mlon=42.3603&amp;zoom=12#map=12/36.9317/42.3603","Maplink1")</f>
        <v>Maplink1</v>
      </c>
      <c r="AX1646" s="104" t="str">
        <f>HYPERLINK("https://www.google.iq/maps/search/+36.9317,42.3603/@36.9317,42.3603,14z?hl=en","Maplink2")</f>
        <v>Maplink2</v>
      </c>
      <c r="AY1646" s="104" t="str">
        <f>HYPERLINK("http://www.bing.com/maps/?lvl=14&amp;sty=h&amp;cp=36.9317~42.3603&amp;sp=point.36.9317_42.3603","Maplink3")</f>
        <v>Maplink3</v>
      </c>
    </row>
    <row r="1647" spans="1:51" x14ac:dyDescent="0.2">
      <c r="A1647" s="102">
        <v>18295</v>
      </c>
      <c r="B1647" s="103" t="s">
        <v>35</v>
      </c>
      <c r="C1647" s="103" t="s">
        <v>104</v>
      </c>
      <c r="D1647" s="103" t="s">
        <v>3371</v>
      </c>
      <c r="E1647" s="103" t="s">
        <v>3372</v>
      </c>
      <c r="F1647" s="103">
        <v>36.446522999999999</v>
      </c>
      <c r="G1647" s="103">
        <v>42.627762099999998</v>
      </c>
      <c r="H1647" s="102">
        <v>270</v>
      </c>
      <c r="I1647" s="102">
        <v>1620</v>
      </c>
      <c r="J1647" s="103"/>
      <c r="K1647" s="103"/>
      <c r="L1647" s="103"/>
      <c r="M1647" s="103">
        <v>270</v>
      </c>
      <c r="N1647" s="103"/>
      <c r="O1647" s="103"/>
      <c r="P1647" s="103"/>
      <c r="Q1647" s="103"/>
      <c r="R1647" s="103"/>
      <c r="S1647" s="103"/>
      <c r="T1647" s="103"/>
      <c r="U1647" s="103"/>
      <c r="V1647" s="103"/>
      <c r="W1647" s="103"/>
      <c r="X1647" s="103"/>
      <c r="Y1647" s="103"/>
      <c r="Z1647" s="103"/>
      <c r="AA1647" s="103"/>
      <c r="AB1647" s="103"/>
      <c r="AC1647" s="103"/>
      <c r="AD1647" s="103"/>
      <c r="AE1647" s="103"/>
      <c r="AF1647" s="103"/>
      <c r="AG1647" s="103">
        <v>270</v>
      </c>
      <c r="AH1647" s="103"/>
      <c r="AI1647" s="103"/>
      <c r="AJ1647" s="103"/>
      <c r="AK1647" s="103"/>
      <c r="AL1647" s="103"/>
      <c r="AM1647" s="103"/>
      <c r="AN1647" s="103"/>
      <c r="AO1647" s="103"/>
      <c r="AP1647" s="103"/>
      <c r="AQ1647" s="103"/>
      <c r="AR1647" s="103"/>
      <c r="AS1647" s="103"/>
      <c r="AT1647" s="103">
        <v>270</v>
      </c>
      <c r="AU1647" s="103"/>
      <c r="AV1647" s="103"/>
      <c r="AW1647" s="104" t="str">
        <f>HYPERLINK("http://www.openstreetmap.org/?mlat=36.4465&amp;mlon=42.6278&amp;zoom=12#map=12/36.4465/42.6278","Maplink1")</f>
        <v>Maplink1</v>
      </c>
      <c r="AX1647" s="104" t="str">
        <f>HYPERLINK("https://www.google.iq/maps/search/+36.4465,42.6278/@36.4465,42.6278,14z?hl=en","Maplink2")</f>
        <v>Maplink2</v>
      </c>
      <c r="AY1647" s="104" t="str">
        <f>HYPERLINK("http://www.bing.com/maps/?lvl=14&amp;sty=h&amp;cp=36.4465~42.6278&amp;sp=point.36.4465_42.6278","Maplink3")</f>
        <v>Maplink3</v>
      </c>
    </row>
    <row r="1648" spans="1:51" x14ac:dyDescent="0.2">
      <c r="A1648" s="102">
        <v>17961</v>
      </c>
      <c r="B1648" s="103" t="s">
        <v>35</v>
      </c>
      <c r="C1648" s="103" t="s">
        <v>104</v>
      </c>
      <c r="D1648" s="103" t="s">
        <v>3373</v>
      </c>
      <c r="E1648" s="103" t="s">
        <v>3374</v>
      </c>
      <c r="F1648" s="103">
        <v>36.690060000000003</v>
      </c>
      <c r="G1648" s="103">
        <v>42.686879713300002</v>
      </c>
      <c r="H1648" s="102">
        <v>67</v>
      </c>
      <c r="I1648" s="102">
        <v>402</v>
      </c>
      <c r="J1648" s="103"/>
      <c r="K1648" s="103"/>
      <c r="L1648" s="103"/>
      <c r="M1648" s="103">
        <v>67</v>
      </c>
      <c r="N1648" s="103"/>
      <c r="O1648" s="103"/>
      <c r="P1648" s="103"/>
      <c r="Q1648" s="103"/>
      <c r="R1648" s="103"/>
      <c r="S1648" s="103"/>
      <c r="T1648" s="103"/>
      <c r="U1648" s="103"/>
      <c r="V1648" s="103"/>
      <c r="W1648" s="103"/>
      <c r="X1648" s="103"/>
      <c r="Y1648" s="103"/>
      <c r="Z1648" s="103"/>
      <c r="AA1648" s="103"/>
      <c r="AB1648" s="103"/>
      <c r="AC1648" s="103"/>
      <c r="AD1648" s="103"/>
      <c r="AE1648" s="103"/>
      <c r="AF1648" s="103"/>
      <c r="AG1648" s="103">
        <v>67</v>
      </c>
      <c r="AH1648" s="103"/>
      <c r="AI1648" s="103"/>
      <c r="AJ1648" s="103"/>
      <c r="AK1648" s="103"/>
      <c r="AL1648" s="103"/>
      <c r="AM1648" s="103"/>
      <c r="AN1648" s="103"/>
      <c r="AO1648" s="103">
        <v>67</v>
      </c>
      <c r="AP1648" s="103"/>
      <c r="AQ1648" s="103"/>
      <c r="AR1648" s="103"/>
      <c r="AS1648" s="103"/>
      <c r="AT1648" s="103"/>
      <c r="AU1648" s="103"/>
      <c r="AV1648" s="103"/>
      <c r="AW1648" s="104" t="str">
        <f>HYPERLINK("http://www.openstreetmap.org/?mlat=36.6901&amp;mlon=42.6869&amp;zoom=12#map=12/36.6901/42.6869","Maplink1")</f>
        <v>Maplink1</v>
      </c>
      <c r="AX1648" s="104" t="str">
        <f>HYPERLINK("https://www.google.iq/maps/search/+36.6901,42.6869/@36.6901,42.6869,14z?hl=en","Maplink2")</f>
        <v>Maplink2</v>
      </c>
      <c r="AY1648" s="104" t="str">
        <f>HYPERLINK("http://www.bing.com/maps/?lvl=14&amp;sty=h&amp;cp=36.6901~42.6869&amp;sp=point.36.6901_42.6869","Maplink3")</f>
        <v>Maplink3</v>
      </c>
    </row>
    <row r="1649" spans="1:51" x14ac:dyDescent="0.2">
      <c r="A1649" s="102">
        <v>33269</v>
      </c>
      <c r="B1649" s="103" t="s">
        <v>35</v>
      </c>
      <c r="C1649" s="103" t="s">
        <v>104</v>
      </c>
      <c r="D1649" s="103" t="s">
        <v>3375</v>
      </c>
      <c r="E1649" s="103" t="s">
        <v>3376</v>
      </c>
      <c r="F1649" s="103">
        <v>36.585700000000003</v>
      </c>
      <c r="G1649" s="103">
        <v>42.6483117995</v>
      </c>
      <c r="H1649" s="102">
        <v>30</v>
      </c>
      <c r="I1649" s="102">
        <v>180</v>
      </c>
      <c r="J1649" s="103"/>
      <c r="K1649" s="103"/>
      <c r="L1649" s="103"/>
      <c r="M1649" s="103">
        <v>30</v>
      </c>
      <c r="N1649" s="103"/>
      <c r="O1649" s="103"/>
      <c r="P1649" s="103"/>
      <c r="Q1649" s="103"/>
      <c r="R1649" s="103"/>
      <c r="S1649" s="103"/>
      <c r="T1649" s="103"/>
      <c r="U1649" s="103"/>
      <c r="V1649" s="103"/>
      <c r="W1649" s="103"/>
      <c r="X1649" s="103"/>
      <c r="Y1649" s="103">
        <v>30</v>
      </c>
      <c r="Z1649" s="103"/>
      <c r="AA1649" s="103"/>
      <c r="AB1649" s="103"/>
      <c r="AC1649" s="103"/>
      <c r="AD1649" s="103"/>
      <c r="AE1649" s="103"/>
      <c r="AF1649" s="103"/>
      <c r="AG1649" s="103"/>
      <c r="AH1649" s="103"/>
      <c r="AI1649" s="103"/>
      <c r="AJ1649" s="103"/>
      <c r="AK1649" s="103"/>
      <c r="AL1649" s="103"/>
      <c r="AM1649" s="103"/>
      <c r="AN1649" s="103"/>
      <c r="AO1649" s="103">
        <v>25</v>
      </c>
      <c r="AP1649" s="103"/>
      <c r="AQ1649" s="103"/>
      <c r="AR1649" s="103"/>
      <c r="AS1649" s="103"/>
      <c r="AT1649" s="103">
        <v>5</v>
      </c>
      <c r="AU1649" s="103"/>
      <c r="AV1649" s="103"/>
      <c r="AW1649" s="104" t="str">
        <f>HYPERLINK("http://www.openstreetmap.org/?mlat=36.5857&amp;mlon=42.6483&amp;zoom=12#map=12/36.5857/42.6483","Maplink1")</f>
        <v>Maplink1</v>
      </c>
      <c r="AX1649" s="104" t="str">
        <f>HYPERLINK("https://www.google.iq/maps/search/+36.5857,42.6483/@36.5857,42.6483,14z?hl=en","Maplink2")</f>
        <v>Maplink2</v>
      </c>
      <c r="AY1649" s="104" t="str">
        <f>HYPERLINK("http://www.bing.com/maps/?lvl=14&amp;sty=h&amp;cp=36.5857~42.6483&amp;sp=point.36.5857_42.6483","Maplink3")</f>
        <v>Maplink3</v>
      </c>
    </row>
    <row r="1650" spans="1:51" x14ac:dyDescent="0.2">
      <c r="A1650" s="102">
        <v>33405</v>
      </c>
      <c r="B1650" s="103" t="s">
        <v>35</v>
      </c>
      <c r="C1650" s="103" t="s">
        <v>104</v>
      </c>
      <c r="D1650" s="103" t="s">
        <v>3377</v>
      </c>
      <c r="E1650" s="103" t="s">
        <v>3378</v>
      </c>
      <c r="F1650" s="103">
        <v>36.955024999999999</v>
      </c>
      <c r="G1650" s="103">
        <v>42.271827999999999</v>
      </c>
      <c r="H1650" s="102">
        <v>328</v>
      </c>
      <c r="I1650" s="102">
        <v>1968</v>
      </c>
      <c r="J1650" s="103"/>
      <c r="K1650" s="103"/>
      <c r="L1650" s="103"/>
      <c r="M1650" s="103">
        <v>328</v>
      </c>
      <c r="N1650" s="103"/>
      <c r="O1650" s="103"/>
      <c r="P1650" s="103"/>
      <c r="Q1650" s="103"/>
      <c r="R1650" s="103"/>
      <c r="S1650" s="103"/>
      <c r="T1650" s="103"/>
      <c r="U1650" s="103"/>
      <c r="V1650" s="103"/>
      <c r="W1650" s="103"/>
      <c r="X1650" s="103"/>
      <c r="Y1650" s="103">
        <v>328</v>
      </c>
      <c r="Z1650" s="103"/>
      <c r="AA1650" s="103"/>
      <c r="AB1650" s="103"/>
      <c r="AC1650" s="103"/>
      <c r="AD1650" s="103"/>
      <c r="AE1650" s="103"/>
      <c r="AF1650" s="103"/>
      <c r="AG1650" s="103"/>
      <c r="AH1650" s="103"/>
      <c r="AI1650" s="103"/>
      <c r="AJ1650" s="103"/>
      <c r="AK1650" s="103"/>
      <c r="AL1650" s="103"/>
      <c r="AM1650" s="103"/>
      <c r="AN1650" s="103"/>
      <c r="AO1650" s="103"/>
      <c r="AP1650" s="103"/>
      <c r="AQ1650" s="103"/>
      <c r="AR1650" s="103"/>
      <c r="AS1650" s="103"/>
      <c r="AT1650" s="103">
        <v>328</v>
      </c>
      <c r="AU1650" s="103"/>
      <c r="AV1650" s="103"/>
      <c r="AW1650" s="104" t="str">
        <f>HYPERLINK("http://www.openstreetmap.org/?mlat=36.955&amp;mlon=42.2718&amp;zoom=12#map=12/36.955/42.2718","Maplink1")</f>
        <v>Maplink1</v>
      </c>
      <c r="AX1650" s="104" t="str">
        <f>HYPERLINK("https://www.google.iq/maps/search/+36.955,42.2718/@36.955,42.2718,14z?hl=en","Maplink2")</f>
        <v>Maplink2</v>
      </c>
      <c r="AY1650" s="104" t="str">
        <f>HYPERLINK("http://www.bing.com/maps/?lvl=14&amp;sty=h&amp;cp=36.955~42.2718&amp;sp=point.36.955_42.2718","Maplink3")</f>
        <v>Maplink3</v>
      </c>
    </row>
    <row r="1651" spans="1:51" x14ac:dyDescent="0.2">
      <c r="A1651" s="102">
        <v>18309</v>
      </c>
      <c r="B1651" s="103" t="s">
        <v>35</v>
      </c>
      <c r="C1651" s="103" t="s">
        <v>104</v>
      </c>
      <c r="D1651" s="103" t="s">
        <v>3252</v>
      </c>
      <c r="E1651" s="103" t="s">
        <v>1196</v>
      </c>
      <c r="F1651" s="103">
        <v>36.377371400000001</v>
      </c>
      <c r="G1651" s="103">
        <v>42.457237300000003</v>
      </c>
      <c r="H1651" s="102">
        <v>792</v>
      </c>
      <c r="I1651" s="102">
        <v>4752</v>
      </c>
      <c r="J1651" s="103"/>
      <c r="K1651" s="103"/>
      <c r="L1651" s="103"/>
      <c r="M1651" s="103">
        <v>792</v>
      </c>
      <c r="N1651" s="103"/>
      <c r="O1651" s="103"/>
      <c r="P1651" s="103"/>
      <c r="Q1651" s="103"/>
      <c r="R1651" s="103"/>
      <c r="S1651" s="103"/>
      <c r="T1651" s="103"/>
      <c r="U1651" s="103"/>
      <c r="V1651" s="103"/>
      <c r="W1651" s="103">
        <v>39</v>
      </c>
      <c r="X1651" s="103"/>
      <c r="Y1651" s="103">
        <v>134</v>
      </c>
      <c r="Z1651" s="103"/>
      <c r="AA1651" s="103">
        <v>88</v>
      </c>
      <c r="AB1651" s="103"/>
      <c r="AC1651" s="103">
        <v>92</v>
      </c>
      <c r="AD1651" s="103"/>
      <c r="AE1651" s="103"/>
      <c r="AF1651" s="103">
        <v>20</v>
      </c>
      <c r="AG1651" s="103">
        <v>240</v>
      </c>
      <c r="AH1651" s="103"/>
      <c r="AI1651" s="103"/>
      <c r="AJ1651" s="103">
        <v>179</v>
      </c>
      <c r="AK1651" s="103"/>
      <c r="AL1651" s="103"/>
      <c r="AM1651" s="103"/>
      <c r="AN1651" s="103"/>
      <c r="AO1651" s="103">
        <v>792</v>
      </c>
      <c r="AP1651" s="103"/>
      <c r="AQ1651" s="103"/>
      <c r="AR1651" s="103"/>
      <c r="AS1651" s="103"/>
      <c r="AT1651" s="103"/>
      <c r="AU1651" s="103"/>
      <c r="AV1651" s="103"/>
      <c r="AW1651" s="104" t="str">
        <f>HYPERLINK("http://www.openstreetmap.org/?mlat=36.3774&amp;mlon=42.4572&amp;zoom=12#map=12/36.3774/42.4572","Maplink1")</f>
        <v>Maplink1</v>
      </c>
      <c r="AX1651" s="104" t="str">
        <f>HYPERLINK("https://www.google.iq/maps/search/+36.3774,42.4572/@36.3774,42.4572,14z?hl=en","Maplink2")</f>
        <v>Maplink2</v>
      </c>
      <c r="AY1651" s="104" t="str">
        <f>HYPERLINK("http://www.bing.com/maps/?lvl=14&amp;sty=h&amp;cp=36.3774~42.4572&amp;sp=point.36.3774_42.4572","Maplink3")</f>
        <v>Maplink3</v>
      </c>
    </row>
    <row r="1652" spans="1:51" x14ac:dyDescent="0.2">
      <c r="A1652" s="102">
        <v>25690</v>
      </c>
      <c r="B1652" s="103" t="s">
        <v>35</v>
      </c>
      <c r="C1652" s="103" t="s">
        <v>104</v>
      </c>
      <c r="D1652" s="103" t="s">
        <v>3253</v>
      </c>
      <c r="E1652" s="103" t="s">
        <v>3254</v>
      </c>
      <c r="F1652" s="103">
        <v>36.600946389999997</v>
      </c>
      <c r="G1652" s="103">
        <v>42.644311249099999</v>
      </c>
      <c r="H1652" s="102">
        <v>130</v>
      </c>
      <c r="I1652" s="102">
        <v>780</v>
      </c>
      <c r="J1652" s="103"/>
      <c r="K1652" s="103"/>
      <c r="L1652" s="103"/>
      <c r="M1652" s="103">
        <v>130</v>
      </c>
      <c r="N1652" s="103"/>
      <c r="O1652" s="103"/>
      <c r="P1652" s="103"/>
      <c r="Q1652" s="103"/>
      <c r="R1652" s="103"/>
      <c r="S1652" s="103"/>
      <c r="T1652" s="103"/>
      <c r="U1652" s="103"/>
      <c r="V1652" s="103"/>
      <c r="W1652" s="103"/>
      <c r="X1652" s="103"/>
      <c r="Y1652" s="103">
        <v>130</v>
      </c>
      <c r="Z1652" s="103"/>
      <c r="AA1652" s="103"/>
      <c r="AB1652" s="103"/>
      <c r="AC1652" s="103"/>
      <c r="AD1652" s="103"/>
      <c r="AE1652" s="103"/>
      <c r="AF1652" s="103"/>
      <c r="AG1652" s="103"/>
      <c r="AH1652" s="103"/>
      <c r="AI1652" s="103"/>
      <c r="AJ1652" s="103"/>
      <c r="AK1652" s="103"/>
      <c r="AL1652" s="103"/>
      <c r="AM1652" s="103"/>
      <c r="AN1652" s="103"/>
      <c r="AO1652" s="103">
        <v>130</v>
      </c>
      <c r="AP1652" s="103"/>
      <c r="AQ1652" s="103"/>
      <c r="AR1652" s="103"/>
      <c r="AS1652" s="103"/>
      <c r="AT1652" s="103"/>
      <c r="AU1652" s="103"/>
      <c r="AV1652" s="103"/>
      <c r="AW1652" s="104" t="str">
        <f>HYPERLINK("http://www.openstreetmap.org/?mlat=36.6009&amp;mlon=42.6443&amp;zoom=12#map=12/36.6009/42.6443","Maplink1")</f>
        <v>Maplink1</v>
      </c>
      <c r="AX1652" s="104" t="str">
        <f>HYPERLINK("https://www.google.iq/maps/search/+36.6009,42.6443/@36.6009,42.6443,14z?hl=en","Maplink2")</f>
        <v>Maplink2</v>
      </c>
      <c r="AY1652" s="104" t="str">
        <f>HYPERLINK("http://www.bing.com/maps/?lvl=14&amp;sty=h&amp;cp=36.6009~42.6443&amp;sp=point.36.6009_42.6443","Maplink3")</f>
        <v>Maplink3</v>
      </c>
    </row>
    <row r="1653" spans="1:51" x14ac:dyDescent="0.2">
      <c r="A1653" s="102">
        <v>22799</v>
      </c>
      <c r="B1653" s="103" t="s">
        <v>35</v>
      </c>
      <c r="C1653" s="103" t="s">
        <v>104</v>
      </c>
      <c r="D1653" s="103" t="s">
        <v>3255</v>
      </c>
      <c r="E1653" s="103" t="s">
        <v>3256</v>
      </c>
      <c r="F1653" s="103">
        <v>36.593777789999997</v>
      </c>
      <c r="G1653" s="103">
        <v>42.523426150799999</v>
      </c>
      <c r="H1653" s="102">
        <v>205</v>
      </c>
      <c r="I1653" s="102">
        <v>1230</v>
      </c>
      <c r="J1653" s="103"/>
      <c r="K1653" s="103"/>
      <c r="L1653" s="103"/>
      <c r="M1653" s="103">
        <v>205</v>
      </c>
      <c r="N1653" s="103"/>
      <c r="O1653" s="103"/>
      <c r="P1653" s="103"/>
      <c r="Q1653" s="103"/>
      <c r="R1653" s="103"/>
      <c r="S1653" s="103"/>
      <c r="T1653" s="103"/>
      <c r="U1653" s="103"/>
      <c r="V1653" s="103"/>
      <c r="W1653" s="103"/>
      <c r="X1653" s="103"/>
      <c r="Y1653" s="103">
        <v>205</v>
      </c>
      <c r="Z1653" s="103"/>
      <c r="AA1653" s="103"/>
      <c r="AB1653" s="103"/>
      <c r="AC1653" s="103"/>
      <c r="AD1653" s="103"/>
      <c r="AE1653" s="103"/>
      <c r="AF1653" s="103"/>
      <c r="AG1653" s="103"/>
      <c r="AH1653" s="103"/>
      <c r="AI1653" s="103"/>
      <c r="AJ1653" s="103"/>
      <c r="AK1653" s="103"/>
      <c r="AL1653" s="103"/>
      <c r="AM1653" s="103"/>
      <c r="AN1653" s="103"/>
      <c r="AO1653" s="103">
        <v>200</v>
      </c>
      <c r="AP1653" s="103"/>
      <c r="AQ1653" s="103"/>
      <c r="AR1653" s="103"/>
      <c r="AS1653" s="103"/>
      <c r="AT1653" s="103">
        <v>5</v>
      </c>
      <c r="AU1653" s="103"/>
      <c r="AV1653" s="103"/>
      <c r="AW1653" s="104" t="str">
        <f>HYPERLINK("http://www.openstreetmap.org/?mlat=36.5938&amp;mlon=42.5234&amp;zoom=12#map=12/36.5938/42.5234","Maplink1")</f>
        <v>Maplink1</v>
      </c>
      <c r="AX1653" s="104" t="str">
        <f>HYPERLINK("https://www.google.iq/maps/search/+36.5938,42.5234/@36.5938,42.5234,14z?hl=en","Maplink2")</f>
        <v>Maplink2</v>
      </c>
      <c r="AY1653" s="104" t="str">
        <f>HYPERLINK("http://www.bing.com/maps/?lvl=14&amp;sty=h&amp;cp=36.5938~42.5234&amp;sp=point.36.5938_42.5234","Maplink3")</f>
        <v>Maplink3</v>
      </c>
    </row>
    <row r="1654" spans="1:51" x14ac:dyDescent="0.2">
      <c r="A1654" s="102">
        <v>18284</v>
      </c>
      <c r="B1654" s="103" t="s">
        <v>35</v>
      </c>
      <c r="C1654" s="103" t="s">
        <v>104</v>
      </c>
      <c r="D1654" s="103" t="s">
        <v>3257</v>
      </c>
      <c r="E1654" s="103" t="s">
        <v>3258</v>
      </c>
      <c r="F1654" s="103">
        <v>36.531258000000001</v>
      </c>
      <c r="G1654" s="103">
        <v>42.693432655599999</v>
      </c>
      <c r="H1654" s="102">
        <v>50</v>
      </c>
      <c r="I1654" s="102">
        <v>300</v>
      </c>
      <c r="J1654" s="103"/>
      <c r="K1654" s="103"/>
      <c r="L1654" s="103"/>
      <c r="M1654" s="103">
        <v>50</v>
      </c>
      <c r="N1654" s="103"/>
      <c r="O1654" s="103"/>
      <c r="P1654" s="103"/>
      <c r="Q1654" s="103"/>
      <c r="R1654" s="103"/>
      <c r="S1654" s="103"/>
      <c r="T1654" s="103"/>
      <c r="U1654" s="103"/>
      <c r="V1654" s="103"/>
      <c r="W1654" s="103"/>
      <c r="X1654" s="103"/>
      <c r="Y1654" s="103"/>
      <c r="Z1654" s="103"/>
      <c r="AA1654" s="103"/>
      <c r="AB1654" s="103"/>
      <c r="AC1654" s="103"/>
      <c r="AD1654" s="103"/>
      <c r="AE1654" s="103"/>
      <c r="AF1654" s="103"/>
      <c r="AG1654" s="103">
        <v>50</v>
      </c>
      <c r="AH1654" s="103"/>
      <c r="AI1654" s="103"/>
      <c r="AJ1654" s="103"/>
      <c r="AK1654" s="103"/>
      <c r="AL1654" s="103"/>
      <c r="AM1654" s="103"/>
      <c r="AN1654" s="103"/>
      <c r="AO1654" s="103">
        <v>50</v>
      </c>
      <c r="AP1654" s="103"/>
      <c r="AQ1654" s="103"/>
      <c r="AR1654" s="103"/>
      <c r="AS1654" s="103"/>
      <c r="AT1654" s="103"/>
      <c r="AU1654" s="103"/>
      <c r="AV1654" s="103"/>
      <c r="AW1654" s="104" t="str">
        <f>HYPERLINK("http://www.openstreetmap.org/?mlat=36.5313&amp;mlon=42.6934&amp;zoom=12#map=12/36.5313/42.6934","Maplink1")</f>
        <v>Maplink1</v>
      </c>
      <c r="AX1654" s="104" t="str">
        <f>HYPERLINK("https://www.google.iq/maps/search/+36.5313,42.6934/@36.5313,42.6934,14z?hl=en","Maplink2")</f>
        <v>Maplink2</v>
      </c>
      <c r="AY1654" s="104" t="str">
        <f>HYPERLINK("http://www.bing.com/maps/?lvl=14&amp;sty=h&amp;cp=36.5313~42.6934&amp;sp=point.36.5313_42.6934","Maplink3")</f>
        <v>Maplink3</v>
      </c>
    </row>
    <row r="1655" spans="1:51" x14ac:dyDescent="0.2">
      <c r="A1655" s="102">
        <v>33284</v>
      </c>
      <c r="B1655" s="103" t="s">
        <v>35</v>
      </c>
      <c r="C1655" s="103" t="s">
        <v>104</v>
      </c>
      <c r="D1655" s="103" t="s">
        <v>3259</v>
      </c>
      <c r="E1655" s="103" t="s">
        <v>3260</v>
      </c>
      <c r="F1655" s="103">
        <v>36.373159999999999</v>
      </c>
      <c r="G1655" s="103">
        <v>42.448393000000003</v>
      </c>
      <c r="H1655" s="102">
        <v>580</v>
      </c>
      <c r="I1655" s="102">
        <v>3480</v>
      </c>
      <c r="J1655" s="103">
        <v>2</v>
      </c>
      <c r="K1655" s="103"/>
      <c r="L1655" s="103">
        <v>11</v>
      </c>
      <c r="M1655" s="103">
        <v>560</v>
      </c>
      <c r="N1655" s="103">
        <v>7</v>
      </c>
      <c r="O1655" s="103"/>
      <c r="P1655" s="103"/>
      <c r="Q1655" s="103"/>
      <c r="R1655" s="103"/>
      <c r="S1655" s="103"/>
      <c r="T1655" s="103"/>
      <c r="U1655" s="103"/>
      <c r="V1655" s="103">
        <v>59</v>
      </c>
      <c r="W1655" s="103">
        <v>96</v>
      </c>
      <c r="X1655" s="103"/>
      <c r="Y1655" s="103"/>
      <c r="Z1655" s="103"/>
      <c r="AA1655" s="103"/>
      <c r="AB1655" s="103">
        <v>111</v>
      </c>
      <c r="AC1655" s="103">
        <v>28</v>
      </c>
      <c r="AD1655" s="103"/>
      <c r="AE1655" s="103"/>
      <c r="AF1655" s="103">
        <v>244</v>
      </c>
      <c r="AG1655" s="103">
        <v>2</v>
      </c>
      <c r="AH1655" s="103">
        <v>2</v>
      </c>
      <c r="AI1655" s="103"/>
      <c r="AJ1655" s="103"/>
      <c r="AK1655" s="103"/>
      <c r="AL1655" s="103">
        <v>38</v>
      </c>
      <c r="AM1655" s="103"/>
      <c r="AN1655" s="103">
        <v>580</v>
      </c>
      <c r="AO1655" s="103"/>
      <c r="AP1655" s="103"/>
      <c r="AQ1655" s="103"/>
      <c r="AR1655" s="103"/>
      <c r="AS1655" s="103"/>
      <c r="AT1655" s="103"/>
      <c r="AU1655" s="103"/>
      <c r="AV1655" s="103"/>
      <c r="AW1655" s="104" t="str">
        <f>HYPERLINK("http://www.openstreetmap.org/?mlat=36.3732&amp;mlon=42.4484&amp;zoom=12#map=12/36.3732/42.4484","Maplink1")</f>
        <v>Maplink1</v>
      </c>
      <c r="AX1655" s="104" t="str">
        <f>HYPERLINK("https://www.google.iq/maps/search/+36.3732,42.4484/@36.3732,42.4484,14z?hl=en","Maplink2")</f>
        <v>Maplink2</v>
      </c>
      <c r="AY1655" s="104" t="str">
        <f>HYPERLINK("http://www.bing.com/maps/?lvl=14&amp;sty=h&amp;cp=36.3732~42.4484&amp;sp=point.36.3732_42.4484","Maplink3")</f>
        <v>Maplink3</v>
      </c>
    </row>
    <row r="1656" spans="1:51" x14ac:dyDescent="0.2">
      <c r="A1656" s="102">
        <v>33294</v>
      </c>
      <c r="B1656" s="103" t="s">
        <v>35</v>
      </c>
      <c r="C1656" s="103" t="s">
        <v>104</v>
      </c>
      <c r="D1656" s="103" t="s">
        <v>3261</v>
      </c>
      <c r="E1656" s="103" t="s">
        <v>3262</v>
      </c>
      <c r="F1656" s="103">
        <v>36.391159999999999</v>
      </c>
      <c r="G1656" s="103">
        <v>42.502434999999998</v>
      </c>
      <c r="H1656" s="102">
        <v>235</v>
      </c>
      <c r="I1656" s="102">
        <v>1410</v>
      </c>
      <c r="J1656" s="103"/>
      <c r="K1656" s="103"/>
      <c r="L1656" s="103">
        <v>5</v>
      </c>
      <c r="M1656" s="103">
        <v>230</v>
      </c>
      <c r="N1656" s="103"/>
      <c r="O1656" s="103"/>
      <c r="P1656" s="103"/>
      <c r="Q1656" s="103"/>
      <c r="R1656" s="103"/>
      <c r="S1656" s="103"/>
      <c r="T1656" s="103"/>
      <c r="U1656" s="103"/>
      <c r="V1656" s="103"/>
      <c r="W1656" s="103"/>
      <c r="X1656" s="103"/>
      <c r="Y1656" s="103"/>
      <c r="Z1656" s="103"/>
      <c r="AA1656" s="103">
        <v>50</v>
      </c>
      <c r="AB1656" s="103"/>
      <c r="AC1656" s="103">
        <v>45</v>
      </c>
      <c r="AD1656" s="103"/>
      <c r="AE1656" s="103"/>
      <c r="AF1656" s="103"/>
      <c r="AG1656" s="103">
        <v>138</v>
      </c>
      <c r="AH1656" s="103"/>
      <c r="AI1656" s="103"/>
      <c r="AJ1656" s="103">
        <v>2</v>
      </c>
      <c r="AK1656" s="103"/>
      <c r="AL1656" s="103"/>
      <c r="AM1656" s="103"/>
      <c r="AN1656" s="103"/>
      <c r="AO1656" s="103"/>
      <c r="AP1656" s="103"/>
      <c r="AQ1656" s="103"/>
      <c r="AR1656" s="103"/>
      <c r="AS1656" s="103">
        <v>235</v>
      </c>
      <c r="AT1656" s="103"/>
      <c r="AU1656" s="103"/>
      <c r="AV1656" s="103"/>
      <c r="AW1656" s="104" t="str">
        <f>HYPERLINK("http://www.openstreetmap.org/?mlat=36.3912&amp;mlon=42.5024&amp;zoom=12#map=12/36.3912/42.5024","Maplink1")</f>
        <v>Maplink1</v>
      </c>
      <c r="AX1656" s="104" t="str">
        <f>HYPERLINK("https://www.google.iq/maps/search/+36.3912,42.5024/@36.3912,42.5024,14z?hl=en","Maplink2")</f>
        <v>Maplink2</v>
      </c>
      <c r="AY1656" s="104" t="str">
        <f>HYPERLINK("http://www.bing.com/maps/?lvl=14&amp;sty=h&amp;cp=36.3912~42.5024&amp;sp=point.36.3912_42.5024","Maplink3")</f>
        <v>Maplink3</v>
      </c>
    </row>
    <row r="1657" spans="1:51" x14ac:dyDescent="0.2">
      <c r="A1657" s="102">
        <v>33407</v>
      </c>
      <c r="B1657" s="103" t="s">
        <v>35</v>
      </c>
      <c r="C1657" s="103" t="s">
        <v>104</v>
      </c>
      <c r="D1657" s="103" t="s">
        <v>3263</v>
      </c>
      <c r="E1657" s="103" t="s">
        <v>3264</v>
      </c>
      <c r="F1657" s="103">
        <v>36.897399999999998</v>
      </c>
      <c r="G1657" s="103">
        <v>42.429798920899998</v>
      </c>
      <c r="H1657" s="102">
        <v>245</v>
      </c>
      <c r="I1657" s="102">
        <v>1470</v>
      </c>
      <c r="J1657" s="103"/>
      <c r="K1657" s="103"/>
      <c r="L1657" s="103"/>
      <c r="M1657" s="103">
        <v>245</v>
      </c>
      <c r="N1657" s="103"/>
      <c r="O1657" s="103"/>
      <c r="P1657" s="103"/>
      <c r="Q1657" s="103"/>
      <c r="R1657" s="103"/>
      <c r="S1657" s="103"/>
      <c r="T1657" s="103"/>
      <c r="U1657" s="103"/>
      <c r="V1657" s="103"/>
      <c r="W1657" s="103"/>
      <c r="X1657" s="103"/>
      <c r="Y1657" s="103"/>
      <c r="Z1657" s="103"/>
      <c r="AA1657" s="103"/>
      <c r="AB1657" s="103"/>
      <c r="AC1657" s="103"/>
      <c r="AD1657" s="103"/>
      <c r="AE1657" s="103"/>
      <c r="AF1657" s="103"/>
      <c r="AG1657" s="103">
        <v>245</v>
      </c>
      <c r="AH1657" s="103"/>
      <c r="AI1657" s="103"/>
      <c r="AJ1657" s="103"/>
      <c r="AK1657" s="103"/>
      <c r="AL1657" s="103"/>
      <c r="AM1657" s="103"/>
      <c r="AN1657" s="103"/>
      <c r="AO1657" s="103"/>
      <c r="AP1657" s="103"/>
      <c r="AQ1657" s="103"/>
      <c r="AR1657" s="103"/>
      <c r="AS1657" s="103"/>
      <c r="AT1657" s="103">
        <v>245</v>
      </c>
      <c r="AU1657" s="103"/>
      <c r="AV1657" s="103"/>
      <c r="AW1657" s="104" t="str">
        <f>HYPERLINK("http://www.openstreetmap.org/?mlat=36.8974&amp;mlon=42.4298&amp;zoom=12#map=12/36.8974/42.4298","Maplink1")</f>
        <v>Maplink1</v>
      </c>
      <c r="AX1657" s="104" t="str">
        <f>HYPERLINK("https://www.google.iq/maps/search/+36.8974,42.4298/@36.8974,42.4298,14z?hl=en","Maplink2")</f>
        <v>Maplink2</v>
      </c>
      <c r="AY1657" s="104" t="str">
        <f>HYPERLINK("http://www.bing.com/maps/?lvl=14&amp;sty=h&amp;cp=36.8974~42.4298&amp;sp=point.36.8974_42.4298","Maplink3")</f>
        <v>Maplink3</v>
      </c>
    </row>
    <row r="1658" spans="1:51" x14ac:dyDescent="0.2">
      <c r="A1658" s="102">
        <v>25693</v>
      </c>
      <c r="B1658" s="103" t="s">
        <v>35</v>
      </c>
      <c r="C1658" s="103" t="s">
        <v>104</v>
      </c>
      <c r="D1658" s="103" t="s">
        <v>3350</v>
      </c>
      <c r="E1658" s="103" t="s">
        <v>3351</v>
      </c>
      <c r="F1658" s="103">
        <v>36.546028059999998</v>
      </c>
      <c r="G1658" s="103">
        <v>42.477921636300003</v>
      </c>
      <c r="H1658" s="102">
        <v>52</v>
      </c>
      <c r="I1658" s="102">
        <v>312</v>
      </c>
      <c r="J1658" s="103"/>
      <c r="K1658" s="103"/>
      <c r="L1658" s="103"/>
      <c r="M1658" s="103">
        <v>52</v>
      </c>
      <c r="N1658" s="103"/>
      <c r="O1658" s="103"/>
      <c r="P1658" s="103"/>
      <c r="Q1658" s="103"/>
      <c r="R1658" s="103"/>
      <c r="S1658" s="103"/>
      <c r="T1658" s="103"/>
      <c r="U1658" s="103"/>
      <c r="V1658" s="103"/>
      <c r="W1658" s="103"/>
      <c r="X1658" s="103"/>
      <c r="Y1658" s="103">
        <v>52</v>
      </c>
      <c r="Z1658" s="103"/>
      <c r="AA1658" s="103"/>
      <c r="AB1658" s="103"/>
      <c r="AC1658" s="103"/>
      <c r="AD1658" s="103"/>
      <c r="AE1658" s="103"/>
      <c r="AF1658" s="103"/>
      <c r="AG1658" s="103"/>
      <c r="AH1658" s="103"/>
      <c r="AI1658" s="103"/>
      <c r="AJ1658" s="103"/>
      <c r="AK1658" s="103"/>
      <c r="AL1658" s="103"/>
      <c r="AM1658" s="103"/>
      <c r="AN1658" s="103"/>
      <c r="AO1658" s="103">
        <v>52</v>
      </c>
      <c r="AP1658" s="103"/>
      <c r="AQ1658" s="103"/>
      <c r="AR1658" s="103"/>
      <c r="AS1658" s="103"/>
      <c r="AT1658" s="103"/>
      <c r="AU1658" s="103"/>
      <c r="AV1658" s="103"/>
      <c r="AW1658" s="104" t="str">
        <f>HYPERLINK("http://www.openstreetmap.org/?mlat=36.546&amp;mlon=42.4779&amp;zoom=12#map=12/36.546/42.4779","Maplink1")</f>
        <v>Maplink1</v>
      </c>
      <c r="AX1658" s="104" t="str">
        <f>HYPERLINK("https://www.google.iq/maps/search/+36.546,42.4779/@36.546,42.4779,14z?hl=en","Maplink2")</f>
        <v>Maplink2</v>
      </c>
      <c r="AY1658" s="104" t="str">
        <f>HYPERLINK("http://www.bing.com/maps/?lvl=14&amp;sty=h&amp;cp=36.546~42.4779&amp;sp=point.36.546_42.4779","Maplink3")</f>
        <v>Maplink3</v>
      </c>
    </row>
    <row r="1659" spans="1:51" x14ac:dyDescent="0.2">
      <c r="A1659" s="102">
        <v>28444</v>
      </c>
      <c r="B1659" s="103" t="s">
        <v>35</v>
      </c>
      <c r="C1659" s="103" t="s">
        <v>104</v>
      </c>
      <c r="D1659" s="103" t="s">
        <v>3352</v>
      </c>
      <c r="E1659" s="103" t="s">
        <v>3353</v>
      </c>
      <c r="F1659" s="103">
        <v>36.716366000800001</v>
      </c>
      <c r="G1659" s="103">
        <v>42.352143827100001</v>
      </c>
      <c r="H1659" s="102">
        <v>184</v>
      </c>
      <c r="I1659" s="102">
        <v>1104</v>
      </c>
      <c r="J1659" s="103"/>
      <c r="K1659" s="103"/>
      <c r="L1659" s="103"/>
      <c r="M1659" s="103">
        <v>184</v>
      </c>
      <c r="N1659" s="103"/>
      <c r="O1659" s="103"/>
      <c r="P1659" s="103"/>
      <c r="Q1659" s="103"/>
      <c r="R1659" s="103"/>
      <c r="S1659" s="103"/>
      <c r="T1659" s="103"/>
      <c r="U1659" s="103"/>
      <c r="V1659" s="103"/>
      <c r="W1659" s="103"/>
      <c r="X1659" s="103"/>
      <c r="Y1659" s="103"/>
      <c r="Z1659" s="103"/>
      <c r="AA1659" s="103"/>
      <c r="AB1659" s="103"/>
      <c r="AC1659" s="103"/>
      <c r="AD1659" s="103"/>
      <c r="AE1659" s="103"/>
      <c r="AF1659" s="103"/>
      <c r="AG1659" s="103">
        <v>184</v>
      </c>
      <c r="AH1659" s="103"/>
      <c r="AI1659" s="103"/>
      <c r="AJ1659" s="103"/>
      <c r="AK1659" s="103"/>
      <c r="AL1659" s="103"/>
      <c r="AM1659" s="103"/>
      <c r="AN1659" s="103"/>
      <c r="AO1659" s="103">
        <v>184</v>
      </c>
      <c r="AP1659" s="103"/>
      <c r="AQ1659" s="103"/>
      <c r="AR1659" s="103"/>
      <c r="AS1659" s="103"/>
      <c r="AT1659" s="103"/>
      <c r="AU1659" s="103"/>
      <c r="AV1659" s="103"/>
      <c r="AW1659" s="104" t="str">
        <f>HYPERLINK("http://www.openstreetmap.org/?mlat=36.7164&amp;mlon=42.3521&amp;zoom=12#map=12/36.7164/42.3521","Maplink1")</f>
        <v>Maplink1</v>
      </c>
      <c r="AX1659" s="104" t="str">
        <f>HYPERLINK("https://www.google.iq/maps/search/+36.7164,42.3521/@36.7164,42.3521,14z?hl=en","Maplink2")</f>
        <v>Maplink2</v>
      </c>
      <c r="AY1659" s="104" t="str">
        <f>HYPERLINK("http://www.bing.com/maps/?lvl=14&amp;sty=h&amp;cp=36.7164~42.3521&amp;sp=point.36.7164_42.3521","Maplink3")</f>
        <v>Maplink3</v>
      </c>
    </row>
    <row r="1660" spans="1:51" x14ac:dyDescent="0.2">
      <c r="A1660" s="102">
        <v>33120</v>
      </c>
      <c r="B1660" s="103" t="s">
        <v>35</v>
      </c>
      <c r="C1660" s="103" t="s">
        <v>104</v>
      </c>
      <c r="D1660" s="103" t="s">
        <v>3354</v>
      </c>
      <c r="E1660" s="103" t="s">
        <v>3355</v>
      </c>
      <c r="F1660" s="103">
        <v>36.475299999999997</v>
      </c>
      <c r="G1660" s="103">
        <v>42.668740962199998</v>
      </c>
      <c r="H1660" s="102">
        <v>200</v>
      </c>
      <c r="I1660" s="102">
        <v>1200</v>
      </c>
      <c r="J1660" s="103"/>
      <c r="K1660" s="103"/>
      <c r="L1660" s="103"/>
      <c r="M1660" s="103">
        <v>200</v>
      </c>
      <c r="N1660" s="103"/>
      <c r="O1660" s="103"/>
      <c r="P1660" s="103"/>
      <c r="Q1660" s="103"/>
      <c r="R1660" s="103"/>
      <c r="S1660" s="103"/>
      <c r="T1660" s="103"/>
      <c r="U1660" s="103"/>
      <c r="V1660" s="103"/>
      <c r="W1660" s="103"/>
      <c r="X1660" s="103"/>
      <c r="Y1660" s="103"/>
      <c r="Z1660" s="103"/>
      <c r="AA1660" s="103"/>
      <c r="AB1660" s="103"/>
      <c r="AC1660" s="103"/>
      <c r="AD1660" s="103"/>
      <c r="AE1660" s="103"/>
      <c r="AF1660" s="103"/>
      <c r="AG1660" s="103">
        <v>200</v>
      </c>
      <c r="AH1660" s="103"/>
      <c r="AI1660" s="103"/>
      <c r="AJ1660" s="103"/>
      <c r="AK1660" s="103"/>
      <c r="AL1660" s="103"/>
      <c r="AM1660" s="103"/>
      <c r="AN1660" s="103"/>
      <c r="AO1660" s="103"/>
      <c r="AP1660" s="103">
        <v>200</v>
      </c>
      <c r="AQ1660" s="103"/>
      <c r="AR1660" s="103"/>
      <c r="AS1660" s="103"/>
      <c r="AT1660" s="103"/>
      <c r="AU1660" s="103"/>
      <c r="AV1660" s="103"/>
      <c r="AW1660" s="104" t="str">
        <f>HYPERLINK("http://www.openstreetmap.org/?mlat=36.4753&amp;mlon=42.6687&amp;zoom=12#map=12/36.4753/42.6687","Maplink1")</f>
        <v>Maplink1</v>
      </c>
      <c r="AX1660" s="104" t="str">
        <f>HYPERLINK("https://www.google.iq/maps/search/+36.4753,42.6687/@36.4753,42.6687,14z?hl=en","Maplink2")</f>
        <v>Maplink2</v>
      </c>
      <c r="AY1660" s="104" t="str">
        <f>HYPERLINK("http://www.bing.com/maps/?lvl=14&amp;sty=h&amp;cp=36.4753~42.6687&amp;sp=point.36.4753_42.6687","Maplink3")</f>
        <v>Maplink3</v>
      </c>
    </row>
    <row r="1661" spans="1:51" x14ac:dyDescent="0.2">
      <c r="A1661" s="102">
        <v>17440</v>
      </c>
      <c r="B1661" s="103" t="s">
        <v>35</v>
      </c>
      <c r="C1661" s="103" t="s">
        <v>104</v>
      </c>
      <c r="D1661" s="103" t="s">
        <v>3356</v>
      </c>
      <c r="E1661" s="103" t="s">
        <v>2789</v>
      </c>
      <c r="F1661" s="103">
        <v>36.388269999999999</v>
      </c>
      <c r="G1661" s="103">
        <v>42.447851999999997</v>
      </c>
      <c r="H1661" s="102">
        <v>676</v>
      </c>
      <c r="I1661" s="102">
        <v>4056</v>
      </c>
      <c r="J1661" s="103">
        <v>2</v>
      </c>
      <c r="K1661" s="103"/>
      <c r="L1661" s="103">
        <v>17</v>
      </c>
      <c r="M1661" s="103">
        <v>646</v>
      </c>
      <c r="N1661" s="103">
        <v>11</v>
      </c>
      <c r="O1661" s="103"/>
      <c r="P1661" s="103"/>
      <c r="Q1661" s="103"/>
      <c r="R1661" s="103"/>
      <c r="S1661" s="103"/>
      <c r="T1661" s="103"/>
      <c r="U1661" s="103"/>
      <c r="V1661" s="103">
        <v>24</v>
      </c>
      <c r="W1661" s="103">
        <v>52</v>
      </c>
      <c r="X1661" s="103">
        <v>3</v>
      </c>
      <c r="Y1661" s="103">
        <v>5</v>
      </c>
      <c r="Z1661" s="103"/>
      <c r="AA1661" s="103">
        <v>17</v>
      </c>
      <c r="AB1661" s="103">
        <v>84</v>
      </c>
      <c r="AC1661" s="103">
        <v>60</v>
      </c>
      <c r="AD1661" s="103"/>
      <c r="AE1661" s="103"/>
      <c r="AF1661" s="103">
        <v>194</v>
      </c>
      <c r="AG1661" s="103">
        <v>227</v>
      </c>
      <c r="AH1661" s="103"/>
      <c r="AI1661" s="103"/>
      <c r="AJ1661" s="103">
        <v>10</v>
      </c>
      <c r="AK1661" s="103"/>
      <c r="AL1661" s="103"/>
      <c r="AM1661" s="103"/>
      <c r="AN1661" s="103">
        <v>676</v>
      </c>
      <c r="AO1661" s="103"/>
      <c r="AP1661" s="103"/>
      <c r="AQ1661" s="103"/>
      <c r="AR1661" s="103"/>
      <c r="AS1661" s="103"/>
      <c r="AT1661" s="103"/>
      <c r="AU1661" s="103"/>
      <c r="AV1661" s="103"/>
      <c r="AW1661" s="104" t="str">
        <f>HYPERLINK("http://www.openstreetmap.org/?mlat=36.3883&amp;mlon=42.4479&amp;zoom=12#map=12/36.3883/42.4479","Maplink1")</f>
        <v>Maplink1</v>
      </c>
      <c r="AX1661" s="104" t="str">
        <f>HYPERLINK("https://www.google.iq/maps/search/+36.3883,42.4479/@36.3883,42.4479,14z?hl=en","Maplink2")</f>
        <v>Maplink2</v>
      </c>
      <c r="AY1661" s="104" t="str">
        <f>HYPERLINK("http://www.bing.com/maps/?lvl=14&amp;sty=h&amp;cp=36.3883~42.4479&amp;sp=point.36.3883_42.4479","Maplink3")</f>
        <v>Maplink3</v>
      </c>
    </row>
    <row r="1662" spans="1:51" x14ac:dyDescent="0.2">
      <c r="A1662" s="102">
        <v>34048</v>
      </c>
      <c r="B1662" s="103" t="s">
        <v>35</v>
      </c>
      <c r="C1662" s="103" t="s">
        <v>104</v>
      </c>
      <c r="D1662" s="103" t="s">
        <v>3357</v>
      </c>
      <c r="E1662" s="103" t="s">
        <v>3358</v>
      </c>
      <c r="F1662" s="103">
        <v>36.377547</v>
      </c>
      <c r="G1662" s="103">
        <v>42.464540999999997</v>
      </c>
      <c r="H1662" s="102">
        <v>703</v>
      </c>
      <c r="I1662" s="102">
        <v>4218</v>
      </c>
      <c r="J1662" s="103"/>
      <c r="K1662" s="103"/>
      <c r="L1662" s="103">
        <v>9</v>
      </c>
      <c r="M1662" s="103">
        <v>687</v>
      </c>
      <c r="N1662" s="103">
        <v>7</v>
      </c>
      <c r="O1662" s="103"/>
      <c r="P1662" s="103"/>
      <c r="Q1662" s="103"/>
      <c r="R1662" s="103"/>
      <c r="S1662" s="103"/>
      <c r="T1662" s="103"/>
      <c r="U1662" s="103"/>
      <c r="V1662" s="103">
        <v>54</v>
      </c>
      <c r="W1662" s="103">
        <v>42</v>
      </c>
      <c r="X1662" s="103"/>
      <c r="Y1662" s="103">
        <v>83</v>
      </c>
      <c r="Z1662" s="103"/>
      <c r="AA1662" s="103">
        <v>24</v>
      </c>
      <c r="AB1662" s="103">
        <v>61</v>
      </c>
      <c r="AC1662" s="103">
        <v>53</v>
      </c>
      <c r="AD1662" s="103"/>
      <c r="AE1662" s="103"/>
      <c r="AF1662" s="103">
        <v>189</v>
      </c>
      <c r="AG1662" s="103">
        <v>76</v>
      </c>
      <c r="AH1662" s="103"/>
      <c r="AI1662" s="103"/>
      <c r="AJ1662" s="103">
        <v>121</v>
      </c>
      <c r="AK1662" s="103"/>
      <c r="AL1662" s="103"/>
      <c r="AM1662" s="103"/>
      <c r="AN1662" s="103"/>
      <c r="AO1662" s="103">
        <v>703</v>
      </c>
      <c r="AP1662" s="103"/>
      <c r="AQ1662" s="103"/>
      <c r="AR1662" s="103"/>
      <c r="AS1662" s="103"/>
      <c r="AT1662" s="103"/>
      <c r="AU1662" s="103"/>
      <c r="AV1662" s="103"/>
      <c r="AW1662" s="104" t="str">
        <f>HYPERLINK("http://www.openstreetmap.org/?mlat=36.3775&amp;mlon=42.4645&amp;zoom=12#map=12/36.3775/42.4645","Maplink1")</f>
        <v>Maplink1</v>
      </c>
      <c r="AX1662" s="104" t="str">
        <f>HYPERLINK("https://www.google.iq/maps/search/+36.3775,42.4645/@36.3775,42.4645,14z?hl=en","Maplink2")</f>
        <v>Maplink2</v>
      </c>
      <c r="AY1662" s="104" t="str">
        <f>HYPERLINK("http://www.bing.com/maps/?lvl=14&amp;sty=h&amp;cp=36.3775~42.4645&amp;sp=point.36.3775_42.4645","Maplink3")</f>
        <v>Maplink3</v>
      </c>
    </row>
    <row r="1663" spans="1:51" x14ac:dyDescent="0.2">
      <c r="A1663" s="102">
        <v>25686</v>
      </c>
      <c r="B1663" s="103" t="s">
        <v>35</v>
      </c>
      <c r="C1663" s="103" t="s">
        <v>104</v>
      </c>
      <c r="D1663" s="103" t="s">
        <v>3276</v>
      </c>
      <c r="E1663" s="103" t="s">
        <v>3277</v>
      </c>
      <c r="F1663" s="103">
        <v>36.806057959999997</v>
      </c>
      <c r="G1663" s="103">
        <v>42.086191879099999</v>
      </c>
      <c r="H1663" s="102">
        <v>161</v>
      </c>
      <c r="I1663" s="102">
        <v>966</v>
      </c>
      <c r="J1663" s="103"/>
      <c r="K1663" s="103"/>
      <c r="L1663" s="103"/>
      <c r="M1663" s="103">
        <v>161</v>
      </c>
      <c r="N1663" s="103"/>
      <c r="O1663" s="103"/>
      <c r="P1663" s="103"/>
      <c r="Q1663" s="103"/>
      <c r="R1663" s="103"/>
      <c r="S1663" s="103"/>
      <c r="T1663" s="103"/>
      <c r="U1663" s="103"/>
      <c r="V1663" s="103"/>
      <c r="W1663" s="103"/>
      <c r="X1663" s="103"/>
      <c r="Y1663" s="103"/>
      <c r="Z1663" s="103"/>
      <c r="AA1663" s="103"/>
      <c r="AB1663" s="103"/>
      <c r="AC1663" s="103"/>
      <c r="AD1663" s="103"/>
      <c r="AE1663" s="103"/>
      <c r="AF1663" s="103"/>
      <c r="AG1663" s="103">
        <v>161</v>
      </c>
      <c r="AH1663" s="103"/>
      <c r="AI1663" s="103"/>
      <c r="AJ1663" s="103"/>
      <c r="AK1663" s="103"/>
      <c r="AL1663" s="103"/>
      <c r="AM1663" s="103"/>
      <c r="AN1663" s="103"/>
      <c r="AO1663" s="103">
        <v>161</v>
      </c>
      <c r="AP1663" s="103"/>
      <c r="AQ1663" s="103"/>
      <c r="AR1663" s="103"/>
      <c r="AS1663" s="103"/>
      <c r="AT1663" s="103"/>
      <c r="AU1663" s="103"/>
      <c r="AV1663" s="103"/>
      <c r="AW1663" s="104" t="str">
        <f>HYPERLINK("http://www.openstreetmap.org/?mlat=36.8061&amp;mlon=42.0862&amp;zoom=12#map=12/36.8061/42.0862","Maplink1")</f>
        <v>Maplink1</v>
      </c>
      <c r="AX1663" s="104" t="str">
        <f>HYPERLINK("https://www.google.iq/maps/search/+36.8061,42.0862/@36.8061,42.0862,14z?hl=en","Maplink2")</f>
        <v>Maplink2</v>
      </c>
      <c r="AY1663" s="104" t="str">
        <f>HYPERLINK("http://www.bing.com/maps/?lvl=14&amp;sty=h&amp;cp=36.8061~42.0862&amp;sp=point.36.8061_42.0862","Maplink3")</f>
        <v>Maplink3</v>
      </c>
    </row>
    <row r="1664" spans="1:51" x14ac:dyDescent="0.2">
      <c r="A1664" s="102">
        <v>18304</v>
      </c>
      <c r="B1664" s="103" t="s">
        <v>35</v>
      </c>
      <c r="C1664" s="103" t="s">
        <v>104</v>
      </c>
      <c r="D1664" s="103" t="s">
        <v>3278</v>
      </c>
      <c r="E1664" s="103" t="s">
        <v>628</v>
      </c>
      <c r="F1664" s="103">
        <v>36.367199999999997</v>
      </c>
      <c r="G1664" s="103">
        <v>42.433289799999997</v>
      </c>
      <c r="H1664" s="102">
        <v>1283</v>
      </c>
      <c r="I1664" s="102">
        <v>7698</v>
      </c>
      <c r="J1664" s="103">
        <v>4</v>
      </c>
      <c r="K1664" s="103"/>
      <c r="L1664" s="103">
        <v>15</v>
      </c>
      <c r="M1664" s="103">
        <v>1261</v>
      </c>
      <c r="N1664" s="103">
        <v>3</v>
      </c>
      <c r="O1664" s="103"/>
      <c r="P1664" s="103"/>
      <c r="Q1664" s="103"/>
      <c r="R1664" s="103"/>
      <c r="S1664" s="103"/>
      <c r="T1664" s="103"/>
      <c r="U1664" s="103"/>
      <c r="V1664" s="103">
        <v>132</v>
      </c>
      <c r="W1664" s="103">
        <v>223</v>
      </c>
      <c r="X1664" s="103">
        <v>30</v>
      </c>
      <c r="Y1664" s="103"/>
      <c r="Z1664" s="103"/>
      <c r="AA1664" s="103"/>
      <c r="AB1664" s="103">
        <v>248</v>
      </c>
      <c r="AC1664" s="103">
        <v>1</v>
      </c>
      <c r="AD1664" s="103"/>
      <c r="AE1664" s="103">
        <v>2</v>
      </c>
      <c r="AF1664" s="103">
        <v>595</v>
      </c>
      <c r="AG1664" s="103"/>
      <c r="AH1664" s="103"/>
      <c r="AI1664" s="103"/>
      <c r="AJ1664" s="103"/>
      <c r="AK1664" s="103">
        <v>2</v>
      </c>
      <c r="AL1664" s="103">
        <v>50</v>
      </c>
      <c r="AM1664" s="103"/>
      <c r="AN1664" s="103">
        <v>1283</v>
      </c>
      <c r="AO1664" s="103"/>
      <c r="AP1664" s="103"/>
      <c r="AQ1664" s="103"/>
      <c r="AR1664" s="103"/>
      <c r="AS1664" s="103"/>
      <c r="AT1664" s="103"/>
      <c r="AU1664" s="103"/>
      <c r="AV1664" s="103"/>
      <c r="AW1664" s="104" t="str">
        <f>HYPERLINK("http://www.openstreetmap.org/?mlat=36.3672&amp;mlon=42.4333&amp;zoom=12#map=12/36.3672/42.4333","Maplink1")</f>
        <v>Maplink1</v>
      </c>
      <c r="AX1664" s="104" t="str">
        <f>HYPERLINK("https://www.google.iq/maps/search/+36.3672,42.4333/@36.3672,42.4333,14z?hl=en","Maplink2")</f>
        <v>Maplink2</v>
      </c>
      <c r="AY1664" s="104" t="str">
        <f>HYPERLINK("http://www.bing.com/maps/?lvl=14&amp;sty=h&amp;cp=36.3672~42.4333&amp;sp=point.36.3672_42.4333","Maplink3")</f>
        <v>Maplink3</v>
      </c>
    </row>
    <row r="1665" spans="1:51" x14ac:dyDescent="0.2">
      <c r="A1665" s="102">
        <v>25704</v>
      </c>
      <c r="B1665" s="103" t="s">
        <v>35</v>
      </c>
      <c r="C1665" s="103" t="s">
        <v>104</v>
      </c>
      <c r="D1665" s="103" t="s">
        <v>3279</v>
      </c>
      <c r="E1665" s="103" t="s">
        <v>3280</v>
      </c>
      <c r="F1665" s="103">
        <v>36.609332790000003</v>
      </c>
      <c r="G1665" s="103">
        <v>42.5363614583</v>
      </c>
      <c r="H1665" s="102">
        <v>210</v>
      </c>
      <c r="I1665" s="102">
        <v>1260</v>
      </c>
      <c r="J1665" s="103"/>
      <c r="K1665" s="103"/>
      <c r="L1665" s="103"/>
      <c r="M1665" s="103">
        <v>205</v>
      </c>
      <c r="N1665" s="103">
        <v>5</v>
      </c>
      <c r="O1665" s="103"/>
      <c r="P1665" s="103"/>
      <c r="Q1665" s="103"/>
      <c r="R1665" s="103"/>
      <c r="S1665" s="103"/>
      <c r="T1665" s="103"/>
      <c r="U1665" s="103"/>
      <c r="V1665" s="103"/>
      <c r="W1665" s="103"/>
      <c r="X1665" s="103"/>
      <c r="Y1665" s="103">
        <v>200</v>
      </c>
      <c r="Z1665" s="103"/>
      <c r="AA1665" s="103"/>
      <c r="AB1665" s="103"/>
      <c r="AC1665" s="103"/>
      <c r="AD1665" s="103"/>
      <c r="AE1665" s="103"/>
      <c r="AF1665" s="103"/>
      <c r="AG1665" s="103">
        <v>10</v>
      </c>
      <c r="AH1665" s="103"/>
      <c r="AI1665" s="103"/>
      <c r="AJ1665" s="103"/>
      <c r="AK1665" s="103"/>
      <c r="AL1665" s="103"/>
      <c r="AM1665" s="103"/>
      <c r="AN1665" s="103"/>
      <c r="AO1665" s="103">
        <v>210</v>
      </c>
      <c r="AP1665" s="103"/>
      <c r="AQ1665" s="103"/>
      <c r="AR1665" s="103"/>
      <c r="AS1665" s="103"/>
      <c r="AT1665" s="103"/>
      <c r="AU1665" s="103"/>
      <c r="AV1665" s="103"/>
      <c r="AW1665" s="104" t="str">
        <f>HYPERLINK("http://www.openstreetmap.org/?mlat=36.6093&amp;mlon=42.5364&amp;zoom=12#map=12/36.6093/42.5364","Maplink1")</f>
        <v>Maplink1</v>
      </c>
      <c r="AX1665" s="104" t="str">
        <f>HYPERLINK("https://www.google.iq/maps/search/+36.6093,42.5364/@36.6093,42.5364,14z?hl=en","Maplink2")</f>
        <v>Maplink2</v>
      </c>
      <c r="AY1665" s="104" t="str">
        <f>HYPERLINK("http://www.bing.com/maps/?lvl=14&amp;sty=h&amp;cp=36.6093~42.5364&amp;sp=point.36.6093_42.5364","Maplink3")</f>
        <v>Maplink3</v>
      </c>
    </row>
    <row r="1666" spans="1:51" x14ac:dyDescent="0.2">
      <c r="A1666" s="102">
        <v>28451</v>
      </c>
      <c r="B1666" s="103" t="s">
        <v>35</v>
      </c>
      <c r="C1666" s="103" t="s">
        <v>104</v>
      </c>
      <c r="D1666" s="103" t="s">
        <v>3281</v>
      </c>
      <c r="E1666" s="103" t="s">
        <v>3282</v>
      </c>
      <c r="F1666" s="103">
        <v>36.732131762000002</v>
      </c>
      <c r="G1666" s="103">
        <v>42.389666318000003</v>
      </c>
      <c r="H1666" s="102">
        <v>435</v>
      </c>
      <c r="I1666" s="102">
        <v>2610</v>
      </c>
      <c r="J1666" s="103"/>
      <c r="K1666" s="103"/>
      <c r="L1666" s="103"/>
      <c r="M1666" s="103">
        <v>435</v>
      </c>
      <c r="N1666" s="103"/>
      <c r="O1666" s="103"/>
      <c r="P1666" s="103"/>
      <c r="Q1666" s="103"/>
      <c r="R1666" s="103"/>
      <c r="S1666" s="103"/>
      <c r="T1666" s="103"/>
      <c r="U1666" s="103"/>
      <c r="V1666" s="103"/>
      <c r="W1666" s="103"/>
      <c r="X1666" s="103"/>
      <c r="Y1666" s="103"/>
      <c r="Z1666" s="103"/>
      <c r="AA1666" s="103"/>
      <c r="AB1666" s="103"/>
      <c r="AC1666" s="103"/>
      <c r="AD1666" s="103"/>
      <c r="AE1666" s="103"/>
      <c r="AF1666" s="103"/>
      <c r="AG1666" s="103">
        <v>435</v>
      </c>
      <c r="AH1666" s="103"/>
      <c r="AI1666" s="103"/>
      <c r="AJ1666" s="103"/>
      <c r="AK1666" s="103"/>
      <c r="AL1666" s="103"/>
      <c r="AM1666" s="103"/>
      <c r="AN1666" s="103"/>
      <c r="AO1666" s="103">
        <v>435</v>
      </c>
      <c r="AP1666" s="103"/>
      <c r="AQ1666" s="103"/>
      <c r="AR1666" s="103"/>
      <c r="AS1666" s="103"/>
      <c r="AT1666" s="103"/>
      <c r="AU1666" s="103"/>
      <c r="AV1666" s="103"/>
      <c r="AW1666" s="104" t="str">
        <f>HYPERLINK("http://www.openstreetmap.org/?mlat=36.7321&amp;mlon=42.3897&amp;zoom=12#map=12/36.7321/42.3897","Maplink1")</f>
        <v>Maplink1</v>
      </c>
      <c r="AX1666" s="104" t="str">
        <f>HYPERLINK("https://www.google.iq/maps/search/+36.7321,42.3897/@36.7321,42.3897,14z?hl=en","Maplink2")</f>
        <v>Maplink2</v>
      </c>
      <c r="AY1666" s="104" t="str">
        <f>HYPERLINK("http://www.bing.com/maps/?lvl=14&amp;sty=h&amp;cp=36.7321~42.3897&amp;sp=point.36.7321_42.3897","Maplink3")</f>
        <v>Maplink3</v>
      </c>
    </row>
    <row r="1667" spans="1:51" x14ac:dyDescent="0.2">
      <c r="A1667" s="102">
        <v>17669</v>
      </c>
      <c r="B1667" s="103" t="s">
        <v>35</v>
      </c>
      <c r="C1667" s="103" t="s">
        <v>104</v>
      </c>
      <c r="D1667" s="103" t="s">
        <v>3283</v>
      </c>
      <c r="E1667" s="103" t="s">
        <v>3284</v>
      </c>
      <c r="F1667" s="103">
        <v>36.902262</v>
      </c>
      <c r="G1667" s="103">
        <v>42.395274000000001</v>
      </c>
      <c r="H1667" s="102">
        <v>35</v>
      </c>
      <c r="I1667" s="102">
        <v>210</v>
      </c>
      <c r="J1667" s="103"/>
      <c r="K1667" s="103"/>
      <c r="L1667" s="103"/>
      <c r="M1667" s="103">
        <v>35</v>
      </c>
      <c r="N1667" s="103"/>
      <c r="O1667" s="103"/>
      <c r="P1667" s="103"/>
      <c r="Q1667" s="103"/>
      <c r="R1667" s="103"/>
      <c r="S1667" s="103"/>
      <c r="T1667" s="103"/>
      <c r="U1667" s="103"/>
      <c r="V1667" s="103"/>
      <c r="W1667" s="103"/>
      <c r="X1667" s="103"/>
      <c r="Y1667" s="103">
        <v>35</v>
      </c>
      <c r="Z1667" s="103"/>
      <c r="AA1667" s="103"/>
      <c r="AB1667" s="103"/>
      <c r="AC1667" s="103"/>
      <c r="AD1667" s="103"/>
      <c r="AE1667" s="103"/>
      <c r="AF1667" s="103"/>
      <c r="AG1667" s="103"/>
      <c r="AH1667" s="103"/>
      <c r="AI1667" s="103"/>
      <c r="AJ1667" s="103"/>
      <c r="AK1667" s="103"/>
      <c r="AL1667" s="103"/>
      <c r="AM1667" s="103"/>
      <c r="AN1667" s="103"/>
      <c r="AO1667" s="103"/>
      <c r="AP1667" s="103"/>
      <c r="AQ1667" s="103"/>
      <c r="AR1667" s="103"/>
      <c r="AS1667" s="103"/>
      <c r="AT1667" s="103">
        <v>35</v>
      </c>
      <c r="AU1667" s="103"/>
      <c r="AV1667" s="103"/>
      <c r="AW1667" s="104" t="str">
        <f>HYPERLINK("http://www.openstreetmap.org/?mlat=36.9023&amp;mlon=42.3953&amp;zoom=12#map=12/36.9023/42.3953","Maplink1")</f>
        <v>Maplink1</v>
      </c>
      <c r="AX1667" s="104" t="str">
        <f>HYPERLINK("https://www.google.iq/maps/search/+36.9023,42.3953/@36.9023,42.3953,14z?hl=en","Maplink2")</f>
        <v>Maplink2</v>
      </c>
      <c r="AY1667" s="104" t="str">
        <f>HYPERLINK("http://www.bing.com/maps/?lvl=14&amp;sty=h&amp;cp=36.9023~42.3953&amp;sp=point.36.9023_42.3953","Maplink3")</f>
        <v>Maplink3</v>
      </c>
    </row>
    <row r="1668" spans="1:51" x14ac:dyDescent="0.2">
      <c r="A1668" s="102">
        <v>33121</v>
      </c>
      <c r="B1668" s="103" t="s">
        <v>35</v>
      </c>
      <c r="C1668" s="103" t="s">
        <v>104</v>
      </c>
      <c r="D1668" s="103" t="s">
        <v>3285</v>
      </c>
      <c r="E1668" s="103" t="s">
        <v>3286</v>
      </c>
      <c r="F1668" s="103">
        <v>36.445028000000001</v>
      </c>
      <c r="G1668" s="103">
        <v>42.662548999999999</v>
      </c>
      <c r="H1668" s="102">
        <v>352</v>
      </c>
      <c r="I1668" s="102">
        <v>2112</v>
      </c>
      <c r="J1668" s="103">
        <v>5</v>
      </c>
      <c r="K1668" s="103"/>
      <c r="L1668" s="103"/>
      <c r="M1668" s="103">
        <v>339</v>
      </c>
      <c r="N1668" s="103">
        <v>8</v>
      </c>
      <c r="O1668" s="103"/>
      <c r="P1668" s="103"/>
      <c r="Q1668" s="103"/>
      <c r="R1668" s="103"/>
      <c r="S1668" s="103"/>
      <c r="T1668" s="103"/>
      <c r="U1668" s="103"/>
      <c r="V1668" s="103"/>
      <c r="W1668" s="103"/>
      <c r="X1668" s="103"/>
      <c r="Y1668" s="103"/>
      <c r="Z1668" s="103"/>
      <c r="AA1668" s="103"/>
      <c r="AB1668" s="103"/>
      <c r="AC1668" s="103"/>
      <c r="AD1668" s="103"/>
      <c r="AE1668" s="103"/>
      <c r="AF1668" s="103"/>
      <c r="AG1668" s="103">
        <v>352</v>
      </c>
      <c r="AH1668" s="103"/>
      <c r="AI1668" s="103"/>
      <c r="AJ1668" s="103"/>
      <c r="AK1668" s="103"/>
      <c r="AL1668" s="103"/>
      <c r="AM1668" s="103"/>
      <c r="AN1668" s="103"/>
      <c r="AO1668" s="103"/>
      <c r="AP1668" s="103"/>
      <c r="AQ1668" s="103"/>
      <c r="AR1668" s="103"/>
      <c r="AS1668" s="103"/>
      <c r="AT1668" s="103">
        <v>352</v>
      </c>
      <c r="AU1668" s="103"/>
      <c r="AV1668" s="103"/>
      <c r="AW1668" s="104" t="str">
        <f>HYPERLINK("http://www.openstreetmap.org/?mlat=36.445&amp;mlon=42.6625&amp;zoom=12#map=12/36.445/42.6625","Maplink1")</f>
        <v>Maplink1</v>
      </c>
      <c r="AX1668" s="104" t="str">
        <f>HYPERLINK("https://www.google.iq/maps/search/+36.445,42.6625/@36.445,42.6625,14z?hl=en","Maplink2")</f>
        <v>Maplink2</v>
      </c>
      <c r="AY1668" s="104" t="str">
        <f>HYPERLINK("http://www.bing.com/maps/?lvl=14&amp;sty=h&amp;cp=36.445~42.6625&amp;sp=point.36.445_42.6625","Maplink3")</f>
        <v>Maplink3</v>
      </c>
    </row>
    <row r="1669" spans="1:51" x14ac:dyDescent="0.2">
      <c r="A1669" s="102">
        <v>17846</v>
      </c>
      <c r="B1669" s="103" t="s">
        <v>35</v>
      </c>
      <c r="C1669" s="103" t="s">
        <v>104</v>
      </c>
      <c r="D1669" s="103" t="s">
        <v>3287</v>
      </c>
      <c r="E1669" s="103" t="s">
        <v>3288</v>
      </c>
      <c r="F1669" s="103">
        <v>36.400643000000002</v>
      </c>
      <c r="G1669" s="103">
        <v>42.529265000000002</v>
      </c>
      <c r="H1669" s="102">
        <v>238</v>
      </c>
      <c r="I1669" s="102">
        <v>1428</v>
      </c>
      <c r="J1669" s="103">
        <v>2</v>
      </c>
      <c r="K1669" s="103"/>
      <c r="L1669" s="103">
        <v>6</v>
      </c>
      <c r="M1669" s="103">
        <v>230</v>
      </c>
      <c r="N1669" s="103"/>
      <c r="O1669" s="103"/>
      <c r="P1669" s="103"/>
      <c r="Q1669" s="103"/>
      <c r="R1669" s="103"/>
      <c r="S1669" s="103"/>
      <c r="T1669" s="103"/>
      <c r="U1669" s="103"/>
      <c r="V1669" s="103"/>
      <c r="W1669" s="103">
        <v>20</v>
      </c>
      <c r="X1669" s="103"/>
      <c r="Y1669" s="103"/>
      <c r="Z1669" s="103"/>
      <c r="AA1669" s="103">
        <v>30</v>
      </c>
      <c r="AB1669" s="103"/>
      <c r="AC1669" s="103">
        <v>20</v>
      </c>
      <c r="AD1669" s="103"/>
      <c r="AE1669" s="103"/>
      <c r="AF1669" s="103">
        <v>40</v>
      </c>
      <c r="AG1669" s="103">
        <v>128</v>
      </c>
      <c r="AH1669" s="103"/>
      <c r="AI1669" s="103"/>
      <c r="AJ1669" s="103"/>
      <c r="AK1669" s="103"/>
      <c r="AL1669" s="103"/>
      <c r="AM1669" s="103"/>
      <c r="AN1669" s="103"/>
      <c r="AO1669" s="103"/>
      <c r="AP1669" s="103"/>
      <c r="AQ1669" s="103"/>
      <c r="AR1669" s="103"/>
      <c r="AS1669" s="103">
        <v>238</v>
      </c>
      <c r="AT1669" s="103"/>
      <c r="AU1669" s="103"/>
      <c r="AV1669" s="103"/>
      <c r="AW1669" s="104" t="str">
        <f>HYPERLINK("http://www.openstreetmap.org/?mlat=36.4006&amp;mlon=42.5293&amp;zoom=12#map=12/36.4006/42.5293","Maplink1")</f>
        <v>Maplink1</v>
      </c>
      <c r="AX1669" s="104" t="str">
        <f>HYPERLINK("https://www.google.iq/maps/search/+36.4006,42.5293/@36.4006,42.5293,14z?hl=en","Maplink2")</f>
        <v>Maplink2</v>
      </c>
      <c r="AY1669" s="104" t="str">
        <f>HYPERLINK("http://www.bing.com/maps/?lvl=14&amp;sty=h&amp;cp=36.4006~42.5293&amp;sp=point.36.4006_42.5293","Maplink3")</f>
        <v>Maplink3</v>
      </c>
    </row>
    <row r="1670" spans="1:51" x14ac:dyDescent="0.2">
      <c r="A1670" s="102">
        <v>33538</v>
      </c>
      <c r="B1670" s="103" t="s">
        <v>35</v>
      </c>
      <c r="C1670" s="103" t="s">
        <v>104</v>
      </c>
      <c r="D1670" s="103" t="s">
        <v>3289</v>
      </c>
      <c r="E1670" s="103" t="s">
        <v>3290</v>
      </c>
      <c r="F1670" s="103">
        <v>36.500799999999998</v>
      </c>
      <c r="G1670" s="103">
        <v>42.438266111099999</v>
      </c>
      <c r="H1670" s="102">
        <v>7</v>
      </c>
      <c r="I1670" s="102">
        <v>42</v>
      </c>
      <c r="J1670" s="103"/>
      <c r="K1670" s="103"/>
      <c r="L1670" s="103"/>
      <c r="M1670" s="103"/>
      <c r="N1670" s="103">
        <v>7</v>
      </c>
      <c r="O1670" s="103"/>
      <c r="P1670" s="103"/>
      <c r="Q1670" s="103"/>
      <c r="R1670" s="103"/>
      <c r="S1670" s="103"/>
      <c r="T1670" s="103"/>
      <c r="U1670" s="103"/>
      <c r="V1670" s="103"/>
      <c r="W1670" s="103"/>
      <c r="X1670" s="103"/>
      <c r="Y1670" s="103"/>
      <c r="Z1670" s="103"/>
      <c r="AA1670" s="103"/>
      <c r="AB1670" s="103"/>
      <c r="AC1670" s="103"/>
      <c r="AD1670" s="103"/>
      <c r="AE1670" s="103"/>
      <c r="AF1670" s="103"/>
      <c r="AG1670" s="103">
        <v>7</v>
      </c>
      <c r="AH1670" s="103"/>
      <c r="AI1670" s="103"/>
      <c r="AJ1670" s="103"/>
      <c r="AK1670" s="103"/>
      <c r="AL1670" s="103"/>
      <c r="AM1670" s="103"/>
      <c r="AN1670" s="103"/>
      <c r="AO1670" s="103"/>
      <c r="AP1670" s="103">
        <v>7</v>
      </c>
      <c r="AQ1670" s="103"/>
      <c r="AR1670" s="103"/>
      <c r="AS1670" s="103"/>
      <c r="AT1670" s="103"/>
      <c r="AU1670" s="103"/>
      <c r="AV1670" s="103"/>
      <c r="AW1670" s="104" t="str">
        <f>HYPERLINK("http://www.openstreetmap.org/?mlat=36.5008&amp;mlon=42.4383&amp;zoom=12#map=12/36.5008/42.4383","Maplink1")</f>
        <v>Maplink1</v>
      </c>
      <c r="AX1670" s="104" t="str">
        <f>HYPERLINK("https://www.google.iq/maps/search/+36.5008,42.4383/@36.5008,42.4383,14z?hl=en","Maplink2")</f>
        <v>Maplink2</v>
      </c>
      <c r="AY1670" s="104" t="str">
        <f>HYPERLINK("http://www.bing.com/maps/?lvl=14&amp;sty=h&amp;cp=36.5008~42.4383&amp;sp=point.36.5008_42.4383","Maplink3")</f>
        <v>Maplink3</v>
      </c>
    </row>
    <row r="1671" spans="1:51" x14ac:dyDescent="0.2">
      <c r="A1671" s="102">
        <v>33215</v>
      </c>
      <c r="B1671" s="103" t="s">
        <v>35</v>
      </c>
      <c r="C1671" s="103" t="s">
        <v>104</v>
      </c>
      <c r="D1671" s="103" t="s">
        <v>3248</v>
      </c>
      <c r="E1671" s="103" t="s">
        <v>3249</v>
      </c>
      <c r="F1671" s="103">
        <v>36.689500000000002</v>
      </c>
      <c r="G1671" s="103">
        <v>42.711109554399997</v>
      </c>
      <c r="H1671" s="102">
        <v>350</v>
      </c>
      <c r="I1671" s="102">
        <v>2100</v>
      </c>
      <c r="J1671" s="103"/>
      <c r="K1671" s="103"/>
      <c r="L1671" s="103"/>
      <c r="M1671" s="103">
        <v>350</v>
      </c>
      <c r="N1671" s="103"/>
      <c r="O1671" s="103"/>
      <c r="P1671" s="103"/>
      <c r="Q1671" s="103"/>
      <c r="R1671" s="103"/>
      <c r="S1671" s="103"/>
      <c r="T1671" s="103"/>
      <c r="U1671" s="103"/>
      <c r="V1671" s="103"/>
      <c r="W1671" s="103"/>
      <c r="X1671" s="103"/>
      <c r="Y1671" s="103"/>
      <c r="Z1671" s="103"/>
      <c r="AA1671" s="103"/>
      <c r="AB1671" s="103"/>
      <c r="AC1671" s="103"/>
      <c r="AD1671" s="103"/>
      <c r="AE1671" s="103"/>
      <c r="AF1671" s="103"/>
      <c r="AG1671" s="103">
        <v>350</v>
      </c>
      <c r="AH1671" s="103"/>
      <c r="AI1671" s="103"/>
      <c r="AJ1671" s="103"/>
      <c r="AK1671" s="103"/>
      <c r="AL1671" s="103"/>
      <c r="AM1671" s="103"/>
      <c r="AN1671" s="103"/>
      <c r="AO1671" s="103">
        <v>350</v>
      </c>
      <c r="AP1671" s="103"/>
      <c r="AQ1671" s="103"/>
      <c r="AR1671" s="103"/>
      <c r="AS1671" s="103"/>
      <c r="AT1671" s="103"/>
      <c r="AU1671" s="103"/>
      <c r="AV1671" s="103"/>
      <c r="AW1671" s="104" t="str">
        <f>HYPERLINK("http://www.openstreetmap.org/?mlat=36.6895&amp;mlon=42.7111&amp;zoom=12#map=12/36.6895/42.7111","Maplink1")</f>
        <v>Maplink1</v>
      </c>
      <c r="AX1671" s="104" t="str">
        <f>HYPERLINK("https://www.google.iq/maps/search/+36.6895,42.7111/@36.6895,42.7111,14z?hl=en","Maplink2")</f>
        <v>Maplink2</v>
      </c>
      <c r="AY1671" s="104" t="str">
        <f>HYPERLINK("http://www.bing.com/maps/?lvl=14&amp;sty=h&amp;cp=36.6895~42.7111&amp;sp=point.36.6895_42.7111","Maplink3")</f>
        <v>Maplink3</v>
      </c>
    </row>
    <row r="1672" spans="1:51" x14ac:dyDescent="0.2">
      <c r="A1672" s="102">
        <v>33267</v>
      </c>
      <c r="B1672" s="103" t="s">
        <v>35</v>
      </c>
      <c r="C1672" s="103" t="s">
        <v>104</v>
      </c>
      <c r="D1672" s="103" t="s">
        <v>3250</v>
      </c>
      <c r="E1672" s="103" t="s">
        <v>3251</v>
      </c>
      <c r="F1672" s="103">
        <v>36.991599999999998</v>
      </c>
      <c r="G1672" s="103">
        <v>42.322099999999999</v>
      </c>
      <c r="H1672" s="102">
        <v>50</v>
      </c>
      <c r="I1672" s="102">
        <v>300</v>
      </c>
      <c r="J1672" s="103"/>
      <c r="K1672" s="103"/>
      <c r="L1672" s="103"/>
      <c r="M1672" s="103">
        <v>50</v>
      </c>
      <c r="N1672" s="103"/>
      <c r="O1672" s="103"/>
      <c r="P1672" s="103"/>
      <c r="Q1672" s="103"/>
      <c r="R1672" s="103"/>
      <c r="S1672" s="103"/>
      <c r="T1672" s="103"/>
      <c r="U1672" s="103"/>
      <c r="V1672" s="103"/>
      <c r="W1672" s="103"/>
      <c r="X1672" s="103"/>
      <c r="Y1672" s="103">
        <v>50</v>
      </c>
      <c r="Z1672" s="103"/>
      <c r="AA1672" s="103"/>
      <c r="AB1672" s="103"/>
      <c r="AC1672" s="103"/>
      <c r="AD1672" s="103"/>
      <c r="AE1672" s="103"/>
      <c r="AF1672" s="103"/>
      <c r="AG1672" s="103"/>
      <c r="AH1672" s="103"/>
      <c r="AI1672" s="103"/>
      <c r="AJ1672" s="103"/>
      <c r="AK1672" s="103"/>
      <c r="AL1672" s="103"/>
      <c r="AM1672" s="103"/>
      <c r="AN1672" s="103"/>
      <c r="AO1672" s="103"/>
      <c r="AP1672" s="103"/>
      <c r="AQ1672" s="103"/>
      <c r="AR1672" s="103"/>
      <c r="AS1672" s="103"/>
      <c r="AT1672" s="103">
        <v>50</v>
      </c>
      <c r="AU1672" s="103"/>
      <c r="AV1672" s="103"/>
      <c r="AW1672" s="104" t="str">
        <f>HYPERLINK("http://www.openstreetmap.org/?mlat=36.9916&amp;mlon=42.3221&amp;zoom=12#map=12/36.9916/42.3221","Maplink1")</f>
        <v>Maplink1</v>
      </c>
      <c r="AX1672" s="104" t="str">
        <f>HYPERLINK("https://www.google.iq/maps/search/+36.9916,42.3221/@36.9916,42.3221,14z?hl=en","Maplink2")</f>
        <v>Maplink2</v>
      </c>
      <c r="AY1672" s="104" t="str">
        <f>HYPERLINK("http://www.bing.com/maps/?lvl=14&amp;sty=h&amp;cp=36.9916~42.3221&amp;sp=point.36.9916_42.3221","Maplink3")</f>
        <v>Maplink3</v>
      </c>
    </row>
    <row r="1673" spans="1:51" x14ac:dyDescent="0.2">
      <c r="A1673" s="102">
        <v>25688</v>
      </c>
      <c r="B1673" s="103" t="s">
        <v>35</v>
      </c>
      <c r="C1673" s="103" t="s">
        <v>104</v>
      </c>
      <c r="D1673" s="103" t="s">
        <v>3291</v>
      </c>
      <c r="E1673" s="103" t="s">
        <v>266</v>
      </c>
      <c r="F1673" s="103">
        <v>36.808158114100003</v>
      </c>
      <c r="G1673" s="103">
        <v>42.083707296100002</v>
      </c>
      <c r="H1673" s="102">
        <v>408</v>
      </c>
      <c r="I1673" s="102">
        <v>2448</v>
      </c>
      <c r="J1673" s="103"/>
      <c r="K1673" s="103"/>
      <c r="L1673" s="103"/>
      <c r="M1673" s="103">
        <v>408</v>
      </c>
      <c r="N1673" s="103"/>
      <c r="O1673" s="103"/>
      <c r="P1673" s="103"/>
      <c r="Q1673" s="103"/>
      <c r="R1673" s="103"/>
      <c r="S1673" s="103"/>
      <c r="T1673" s="103"/>
      <c r="U1673" s="103"/>
      <c r="V1673" s="103"/>
      <c r="W1673" s="103"/>
      <c r="X1673" s="103"/>
      <c r="Y1673" s="103"/>
      <c r="Z1673" s="103"/>
      <c r="AA1673" s="103"/>
      <c r="AB1673" s="103"/>
      <c r="AC1673" s="103"/>
      <c r="AD1673" s="103"/>
      <c r="AE1673" s="103"/>
      <c r="AF1673" s="103"/>
      <c r="AG1673" s="103">
        <v>408</v>
      </c>
      <c r="AH1673" s="103"/>
      <c r="AI1673" s="103"/>
      <c r="AJ1673" s="103"/>
      <c r="AK1673" s="103"/>
      <c r="AL1673" s="103"/>
      <c r="AM1673" s="103"/>
      <c r="AN1673" s="103"/>
      <c r="AO1673" s="103">
        <v>408</v>
      </c>
      <c r="AP1673" s="103"/>
      <c r="AQ1673" s="103"/>
      <c r="AR1673" s="103"/>
      <c r="AS1673" s="103"/>
      <c r="AT1673" s="103"/>
      <c r="AU1673" s="103"/>
      <c r="AV1673" s="103"/>
      <c r="AW1673" s="104" t="str">
        <f>HYPERLINK("http://www.openstreetmap.org/?mlat=36.8082&amp;mlon=42.0837&amp;zoom=12#map=12/36.8082/42.0837","Maplink1")</f>
        <v>Maplink1</v>
      </c>
      <c r="AX1673" s="104" t="str">
        <f>HYPERLINK("https://www.google.iq/maps/search/+36.8082,42.0837/@36.8082,42.0837,14z?hl=en","Maplink2")</f>
        <v>Maplink2</v>
      </c>
      <c r="AY1673" s="104" t="str">
        <f>HYPERLINK("http://www.bing.com/maps/?lvl=14&amp;sty=h&amp;cp=36.8082~42.0837&amp;sp=point.36.8082_42.0837","Maplink3")</f>
        <v>Maplink3</v>
      </c>
    </row>
    <row r="1674" spans="1:51" x14ac:dyDescent="0.2">
      <c r="A1674" s="102">
        <v>28433</v>
      </c>
      <c r="B1674" s="103" t="s">
        <v>35</v>
      </c>
      <c r="C1674" s="103" t="s">
        <v>104</v>
      </c>
      <c r="D1674" s="103" t="s">
        <v>3292</v>
      </c>
      <c r="E1674" s="103" t="s">
        <v>2688</v>
      </c>
      <c r="F1674" s="103">
        <v>36.427956799999997</v>
      </c>
      <c r="G1674" s="103">
        <v>42.675130199999998</v>
      </c>
      <c r="H1674" s="102">
        <v>182</v>
      </c>
      <c r="I1674" s="102">
        <v>1092</v>
      </c>
      <c r="J1674" s="103">
        <v>2</v>
      </c>
      <c r="K1674" s="103"/>
      <c r="L1674" s="103"/>
      <c r="M1674" s="103">
        <v>180</v>
      </c>
      <c r="N1674" s="103"/>
      <c r="O1674" s="103"/>
      <c r="P1674" s="103"/>
      <c r="Q1674" s="103"/>
      <c r="R1674" s="103"/>
      <c r="S1674" s="103"/>
      <c r="T1674" s="103"/>
      <c r="U1674" s="103"/>
      <c r="V1674" s="103"/>
      <c r="W1674" s="103"/>
      <c r="X1674" s="103"/>
      <c r="Y1674" s="103"/>
      <c r="Z1674" s="103"/>
      <c r="AA1674" s="103"/>
      <c r="AB1674" s="103"/>
      <c r="AC1674" s="103"/>
      <c r="AD1674" s="103"/>
      <c r="AE1674" s="103"/>
      <c r="AF1674" s="103"/>
      <c r="AG1674" s="103">
        <v>182</v>
      </c>
      <c r="AH1674" s="103"/>
      <c r="AI1674" s="103"/>
      <c r="AJ1674" s="103"/>
      <c r="AK1674" s="103"/>
      <c r="AL1674" s="103"/>
      <c r="AM1674" s="103"/>
      <c r="AN1674" s="103"/>
      <c r="AO1674" s="103"/>
      <c r="AP1674" s="103"/>
      <c r="AQ1674" s="103"/>
      <c r="AR1674" s="103"/>
      <c r="AS1674" s="103"/>
      <c r="AT1674" s="103">
        <v>182</v>
      </c>
      <c r="AU1674" s="103"/>
      <c r="AV1674" s="103"/>
      <c r="AW1674" s="104" t="str">
        <f>HYPERLINK("http://www.openstreetmap.org/?mlat=36.428&amp;mlon=42.6751&amp;zoom=12#map=12/36.428/42.6751","Maplink1")</f>
        <v>Maplink1</v>
      </c>
      <c r="AX1674" s="104" t="str">
        <f>HYPERLINK("https://www.google.iq/maps/search/+36.428,42.6751/@36.428,42.6751,14z?hl=en","Maplink2")</f>
        <v>Maplink2</v>
      </c>
      <c r="AY1674" s="104" t="str">
        <f>HYPERLINK("http://www.bing.com/maps/?lvl=14&amp;sty=h&amp;cp=36.428~42.6751&amp;sp=point.36.428_42.6751","Maplink3")</f>
        <v>Maplink3</v>
      </c>
    </row>
    <row r="1675" spans="1:51" x14ac:dyDescent="0.2">
      <c r="A1675" s="102">
        <v>28439</v>
      </c>
      <c r="B1675" s="103" t="s">
        <v>35</v>
      </c>
      <c r="C1675" s="103" t="s">
        <v>104</v>
      </c>
      <c r="D1675" s="103" t="s">
        <v>3293</v>
      </c>
      <c r="E1675" s="103" t="s">
        <v>3294</v>
      </c>
      <c r="F1675" s="103">
        <v>36.745849714599998</v>
      </c>
      <c r="G1675" s="103">
        <v>42.202457533199997</v>
      </c>
      <c r="H1675" s="102">
        <v>111</v>
      </c>
      <c r="I1675" s="102">
        <v>666</v>
      </c>
      <c r="J1675" s="103"/>
      <c r="K1675" s="103"/>
      <c r="L1675" s="103"/>
      <c r="M1675" s="103">
        <v>109</v>
      </c>
      <c r="N1675" s="103">
        <v>2</v>
      </c>
      <c r="O1675" s="103"/>
      <c r="P1675" s="103"/>
      <c r="Q1675" s="103"/>
      <c r="R1675" s="103"/>
      <c r="S1675" s="103"/>
      <c r="T1675" s="103"/>
      <c r="U1675" s="103"/>
      <c r="V1675" s="103"/>
      <c r="W1675" s="103"/>
      <c r="X1675" s="103"/>
      <c r="Y1675" s="103"/>
      <c r="Z1675" s="103"/>
      <c r="AA1675" s="103"/>
      <c r="AB1675" s="103"/>
      <c r="AC1675" s="103"/>
      <c r="AD1675" s="103"/>
      <c r="AE1675" s="103"/>
      <c r="AF1675" s="103"/>
      <c r="AG1675" s="103">
        <v>111</v>
      </c>
      <c r="AH1675" s="103"/>
      <c r="AI1675" s="103"/>
      <c r="AJ1675" s="103"/>
      <c r="AK1675" s="103"/>
      <c r="AL1675" s="103"/>
      <c r="AM1675" s="103"/>
      <c r="AN1675" s="103"/>
      <c r="AO1675" s="103">
        <v>111</v>
      </c>
      <c r="AP1675" s="103"/>
      <c r="AQ1675" s="103"/>
      <c r="AR1675" s="103"/>
      <c r="AS1675" s="103"/>
      <c r="AT1675" s="103"/>
      <c r="AU1675" s="103"/>
      <c r="AV1675" s="103"/>
      <c r="AW1675" s="104" t="str">
        <f>HYPERLINK("http://www.openstreetmap.org/?mlat=36.7458&amp;mlon=42.2025&amp;zoom=12#map=12/36.7458/42.2025","Maplink1")</f>
        <v>Maplink1</v>
      </c>
      <c r="AX1675" s="104" t="str">
        <f>HYPERLINK("https://www.google.iq/maps/search/+36.7458,42.2025/@36.7458,42.2025,14z?hl=en","Maplink2")</f>
        <v>Maplink2</v>
      </c>
      <c r="AY1675" s="104" t="str">
        <f>HYPERLINK("http://www.bing.com/maps/?lvl=14&amp;sty=h&amp;cp=36.7458~42.2025&amp;sp=point.36.7458_42.2025","Maplink3")</f>
        <v>Maplink3</v>
      </c>
    </row>
    <row r="1676" spans="1:51" x14ac:dyDescent="0.2">
      <c r="A1676" s="102">
        <v>22955</v>
      </c>
      <c r="B1676" s="103" t="s">
        <v>35</v>
      </c>
      <c r="C1676" s="103" t="s">
        <v>104</v>
      </c>
      <c r="D1676" s="103" t="s">
        <v>3295</v>
      </c>
      <c r="E1676" s="103" t="s">
        <v>3296</v>
      </c>
      <c r="F1676" s="103">
        <v>36.457399000000002</v>
      </c>
      <c r="G1676" s="103">
        <v>42.685201900000003</v>
      </c>
      <c r="H1676" s="102">
        <v>135</v>
      </c>
      <c r="I1676" s="102">
        <v>810</v>
      </c>
      <c r="J1676" s="103"/>
      <c r="K1676" s="103"/>
      <c r="L1676" s="103"/>
      <c r="M1676" s="103">
        <v>135</v>
      </c>
      <c r="N1676" s="103"/>
      <c r="O1676" s="103"/>
      <c r="P1676" s="103"/>
      <c r="Q1676" s="103"/>
      <c r="R1676" s="103"/>
      <c r="S1676" s="103"/>
      <c r="T1676" s="103"/>
      <c r="U1676" s="103"/>
      <c r="V1676" s="103"/>
      <c r="W1676" s="103"/>
      <c r="X1676" s="103"/>
      <c r="Y1676" s="103"/>
      <c r="Z1676" s="103"/>
      <c r="AA1676" s="103"/>
      <c r="AB1676" s="103"/>
      <c r="AC1676" s="103"/>
      <c r="AD1676" s="103"/>
      <c r="AE1676" s="103"/>
      <c r="AF1676" s="103"/>
      <c r="AG1676" s="103">
        <v>135</v>
      </c>
      <c r="AH1676" s="103"/>
      <c r="AI1676" s="103"/>
      <c r="AJ1676" s="103"/>
      <c r="AK1676" s="103"/>
      <c r="AL1676" s="103"/>
      <c r="AM1676" s="103"/>
      <c r="AN1676" s="103"/>
      <c r="AO1676" s="103"/>
      <c r="AP1676" s="103"/>
      <c r="AQ1676" s="103"/>
      <c r="AR1676" s="103"/>
      <c r="AS1676" s="103"/>
      <c r="AT1676" s="103">
        <v>135</v>
      </c>
      <c r="AU1676" s="103"/>
      <c r="AV1676" s="103"/>
      <c r="AW1676" s="104" t="str">
        <f>HYPERLINK("http://www.openstreetmap.org/?mlat=36.4574&amp;mlon=42.6852&amp;zoom=12#map=12/36.4574/42.6852","Maplink1")</f>
        <v>Maplink1</v>
      </c>
      <c r="AX1676" s="104" t="str">
        <f>HYPERLINK("https://www.google.iq/maps/search/+36.4574,42.6852/@36.4574,42.6852,14z?hl=en","Maplink2")</f>
        <v>Maplink2</v>
      </c>
      <c r="AY1676" s="104" t="str">
        <f>HYPERLINK("http://www.bing.com/maps/?lvl=14&amp;sty=h&amp;cp=36.4574~42.6852&amp;sp=point.36.4574_42.6852","Maplink3")</f>
        <v>Maplink3</v>
      </c>
    </row>
    <row r="1677" spans="1:51" x14ac:dyDescent="0.2">
      <c r="A1677" s="102">
        <v>33279</v>
      </c>
      <c r="B1677" s="103" t="s">
        <v>35</v>
      </c>
      <c r="C1677" s="103" t="s">
        <v>104</v>
      </c>
      <c r="D1677" s="103" t="s">
        <v>3297</v>
      </c>
      <c r="E1677" s="103" t="s">
        <v>2804</v>
      </c>
      <c r="F1677" s="103">
        <v>36.378129999999999</v>
      </c>
      <c r="G1677" s="103">
        <v>42.442621899999999</v>
      </c>
      <c r="H1677" s="102">
        <v>705</v>
      </c>
      <c r="I1677" s="102">
        <v>4230</v>
      </c>
      <c r="J1677" s="103">
        <v>5</v>
      </c>
      <c r="K1677" s="103"/>
      <c r="L1677" s="103">
        <v>25</v>
      </c>
      <c r="M1677" s="103">
        <v>675</v>
      </c>
      <c r="N1677" s="103"/>
      <c r="O1677" s="103"/>
      <c r="P1677" s="103"/>
      <c r="Q1677" s="103"/>
      <c r="R1677" s="103"/>
      <c r="S1677" s="103"/>
      <c r="T1677" s="103"/>
      <c r="U1677" s="103"/>
      <c r="V1677" s="103">
        <v>84</v>
      </c>
      <c r="W1677" s="103">
        <v>55</v>
      </c>
      <c r="X1677" s="103">
        <v>8</v>
      </c>
      <c r="Y1677" s="103">
        <v>21</v>
      </c>
      <c r="Z1677" s="103"/>
      <c r="AA1677" s="103">
        <v>26</v>
      </c>
      <c r="AB1677" s="103">
        <v>133</v>
      </c>
      <c r="AC1677" s="103">
        <v>25</v>
      </c>
      <c r="AD1677" s="103"/>
      <c r="AE1677" s="103"/>
      <c r="AF1677" s="103">
        <v>268</v>
      </c>
      <c r="AG1677" s="103">
        <v>70</v>
      </c>
      <c r="AH1677" s="103"/>
      <c r="AI1677" s="103"/>
      <c r="AJ1677" s="103">
        <v>5</v>
      </c>
      <c r="AK1677" s="103">
        <v>10</v>
      </c>
      <c r="AL1677" s="103"/>
      <c r="AM1677" s="103"/>
      <c r="AN1677" s="103">
        <v>705</v>
      </c>
      <c r="AO1677" s="103"/>
      <c r="AP1677" s="103"/>
      <c r="AQ1677" s="103"/>
      <c r="AR1677" s="103"/>
      <c r="AS1677" s="103"/>
      <c r="AT1677" s="103"/>
      <c r="AU1677" s="103"/>
      <c r="AV1677" s="103"/>
      <c r="AW1677" s="104" t="str">
        <f>HYPERLINK("http://www.openstreetmap.org/?mlat=36.3781&amp;mlon=42.4426&amp;zoom=12#map=12/36.3781/42.4426","Maplink1")</f>
        <v>Maplink1</v>
      </c>
      <c r="AX1677" s="104" t="str">
        <f>HYPERLINK("https://www.google.iq/maps/search/+36.3781,42.4426/@36.3781,42.4426,14z?hl=en","Maplink2")</f>
        <v>Maplink2</v>
      </c>
      <c r="AY1677" s="104" t="str">
        <f>HYPERLINK("http://www.bing.com/maps/?lvl=14&amp;sty=h&amp;cp=36.3781~42.4426&amp;sp=point.36.3781_42.4426","Maplink3")</f>
        <v>Maplink3</v>
      </c>
    </row>
    <row r="1678" spans="1:51" x14ac:dyDescent="0.2">
      <c r="A1678" s="102">
        <v>17616</v>
      </c>
      <c r="B1678" s="103" t="s">
        <v>35</v>
      </c>
      <c r="C1678" s="103" t="s">
        <v>104</v>
      </c>
      <c r="D1678" s="103" t="s">
        <v>3298</v>
      </c>
      <c r="E1678" s="103" t="s">
        <v>1154</v>
      </c>
      <c r="F1678" s="103">
        <v>36.407207999999997</v>
      </c>
      <c r="G1678" s="103">
        <v>42.450977999999999</v>
      </c>
      <c r="H1678" s="102">
        <v>277</v>
      </c>
      <c r="I1678" s="102">
        <v>1662</v>
      </c>
      <c r="J1678" s="103">
        <v>2</v>
      </c>
      <c r="K1678" s="103"/>
      <c r="L1678" s="103"/>
      <c r="M1678" s="103">
        <v>270</v>
      </c>
      <c r="N1678" s="103">
        <v>5</v>
      </c>
      <c r="O1678" s="103"/>
      <c r="P1678" s="103"/>
      <c r="Q1678" s="103"/>
      <c r="R1678" s="103"/>
      <c r="S1678" s="103"/>
      <c r="T1678" s="103"/>
      <c r="U1678" s="103"/>
      <c r="V1678" s="103">
        <v>24</v>
      </c>
      <c r="W1678" s="103">
        <v>18</v>
      </c>
      <c r="X1678" s="103"/>
      <c r="Y1678" s="103"/>
      <c r="Z1678" s="103"/>
      <c r="AA1678" s="103"/>
      <c r="AB1678" s="103">
        <v>69</v>
      </c>
      <c r="AC1678" s="103"/>
      <c r="AD1678" s="103"/>
      <c r="AE1678" s="103"/>
      <c r="AF1678" s="103">
        <v>159</v>
      </c>
      <c r="AG1678" s="103"/>
      <c r="AH1678" s="103"/>
      <c r="AI1678" s="103"/>
      <c r="AJ1678" s="103">
        <v>3</v>
      </c>
      <c r="AK1678" s="103">
        <v>4</v>
      </c>
      <c r="AL1678" s="103"/>
      <c r="AM1678" s="103"/>
      <c r="AN1678" s="103">
        <v>277</v>
      </c>
      <c r="AO1678" s="103"/>
      <c r="AP1678" s="103"/>
      <c r="AQ1678" s="103"/>
      <c r="AR1678" s="103"/>
      <c r="AS1678" s="103"/>
      <c r="AT1678" s="103"/>
      <c r="AU1678" s="103"/>
      <c r="AV1678" s="103"/>
      <c r="AW1678" s="104" t="str">
        <f>HYPERLINK("http://www.openstreetmap.org/?mlat=36.4072&amp;mlon=42.451&amp;zoom=12#map=12/36.4072/42.451","Maplink1")</f>
        <v>Maplink1</v>
      </c>
      <c r="AX1678" s="104" t="str">
        <f>HYPERLINK("https://www.google.iq/maps/search/+36.4072,42.451/@36.4072,42.451,14z?hl=en","Maplink2")</f>
        <v>Maplink2</v>
      </c>
      <c r="AY1678" s="104" t="str">
        <f>HYPERLINK("http://www.bing.com/maps/?lvl=14&amp;sty=h&amp;cp=36.4072~42.451&amp;sp=point.36.4072_42.451","Maplink3")</f>
        <v>Maplink3</v>
      </c>
    </row>
    <row r="1679" spans="1:51" x14ac:dyDescent="0.2">
      <c r="A1679" s="102">
        <v>18025</v>
      </c>
      <c r="B1679" s="103" t="s">
        <v>35</v>
      </c>
      <c r="C1679" s="103" t="s">
        <v>104</v>
      </c>
      <c r="D1679" s="103" t="s">
        <v>3299</v>
      </c>
      <c r="E1679" s="103" t="s">
        <v>3300</v>
      </c>
      <c r="F1679" s="103">
        <v>36.929636000000002</v>
      </c>
      <c r="G1679" s="103">
        <v>42.219594000000001</v>
      </c>
      <c r="H1679" s="102">
        <v>180</v>
      </c>
      <c r="I1679" s="102">
        <v>1080</v>
      </c>
      <c r="J1679" s="103"/>
      <c r="K1679" s="103"/>
      <c r="L1679" s="103"/>
      <c r="M1679" s="103">
        <v>180</v>
      </c>
      <c r="N1679" s="103"/>
      <c r="O1679" s="103"/>
      <c r="P1679" s="103"/>
      <c r="Q1679" s="103"/>
      <c r="R1679" s="103"/>
      <c r="S1679" s="103"/>
      <c r="T1679" s="103"/>
      <c r="U1679" s="103"/>
      <c r="V1679" s="103"/>
      <c r="W1679" s="103"/>
      <c r="X1679" s="103"/>
      <c r="Y1679" s="103">
        <v>180</v>
      </c>
      <c r="Z1679" s="103"/>
      <c r="AA1679" s="103"/>
      <c r="AB1679" s="103"/>
      <c r="AC1679" s="103"/>
      <c r="AD1679" s="103"/>
      <c r="AE1679" s="103"/>
      <c r="AF1679" s="103"/>
      <c r="AG1679" s="103"/>
      <c r="AH1679" s="103"/>
      <c r="AI1679" s="103"/>
      <c r="AJ1679" s="103"/>
      <c r="AK1679" s="103"/>
      <c r="AL1679" s="103"/>
      <c r="AM1679" s="103"/>
      <c r="AN1679" s="103"/>
      <c r="AO1679" s="103"/>
      <c r="AP1679" s="103"/>
      <c r="AQ1679" s="103"/>
      <c r="AR1679" s="103"/>
      <c r="AS1679" s="103"/>
      <c r="AT1679" s="103">
        <v>180</v>
      </c>
      <c r="AU1679" s="103"/>
      <c r="AV1679" s="103"/>
      <c r="AW1679" s="104" t="str">
        <f>HYPERLINK("http://www.openstreetmap.org/?mlat=36.9296&amp;mlon=42.2196&amp;zoom=12#map=12/36.9296/42.2196","Maplink1")</f>
        <v>Maplink1</v>
      </c>
      <c r="AX1679" s="104" t="str">
        <f>HYPERLINK("https://www.google.iq/maps/search/+36.9296,42.2196/@36.9296,42.2196,14z?hl=en","Maplink2")</f>
        <v>Maplink2</v>
      </c>
      <c r="AY1679" s="104" t="str">
        <f>HYPERLINK("http://www.bing.com/maps/?lvl=14&amp;sty=h&amp;cp=36.9296~42.2196&amp;sp=point.36.9296_42.2196","Maplink3")</f>
        <v>Maplink3</v>
      </c>
    </row>
    <row r="1680" spans="1:51" x14ac:dyDescent="0.2">
      <c r="A1680" s="102">
        <v>24701</v>
      </c>
      <c r="B1680" s="103" t="s">
        <v>35</v>
      </c>
      <c r="C1680" s="103" t="s">
        <v>104</v>
      </c>
      <c r="D1680" s="103" t="s">
        <v>3145</v>
      </c>
      <c r="E1680" s="103" t="s">
        <v>3146</v>
      </c>
      <c r="F1680" s="103">
        <v>36.808491991300002</v>
      </c>
      <c r="G1680" s="103">
        <v>42.090161568600003</v>
      </c>
      <c r="H1680" s="102">
        <v>351</v>
      </c>
      <c r="I1680" s="102">
        <v>2106</v>
      </c>
      <c r="J1680" s="103"/>
      <c r="K1680" s="103"/>
      <c r="L1680" s="103"/>
      <c r="M1680" s="103">
        <v>340</v>
      </c>
      <c r="N1680" s="103">
        <v>11</v>
      </c>
      <c r="O1680" s="103"/>
      <c r="P1680" s="103"/>
      <c r="Q1680" s="103"/>
      <c r="R1680" s="103"/>
      <c r="S1680" s="103"/>
      <c r="T1680" s="103"/>
      <c r="U1680" s="103"/>
      <c r="V1680" s="103"/>
      <c r="W1680" s="103"/>
      <c r="X1680" s="103"/>
      <c r="Y1680" s="103"/>
      <c r="Z1680" s="103"/>
      <c r="AA1680" s="103"/>
      <c r="AB1680" s="103"/>
      <c r="AC1680" s="103"/>
      <c r="AD1680" s="103"/>
      <c r="AE1680" s="103"/>
      <c r="AF1680" s="103"/>
      <c r="AG1680" s="103">
        <v>351</v>
      </c>
      <c r="AH1680" s="103"/>
      <c r="AI1680" s="103"/>
      <c r="AJ1680" s="103"/>
      <c r="AK1680" s="103"/>
      <c r="AL1680" s="103"/>
      <c r="AM1680" s="103"/>
      <c r="AN1680" s="103"/>
      <c r="AO1680" s="103">
        <v>351</v>
      </c>
      <c r="AP1680" s="103"/>
      <c r="AQ1680" s="103"/>
      <c r="AR1680" s="103"/>
      <c r="AS1680" s="103"/>
      <c r="AT1680" s="103"/>
      <c r="AU1680" s="103"/>
      <c r="AV1680" s="103"/>
      <c r="AW1680" s="104" t="str">
        <f>HYPERLINK("http://www.openstreetmap.org/?mlat=36.8085&amp;mlon=42.0902&amp;zoom=12#map=12/36.8085/42.0902","Maplink1")</f>
        <v>Maplink1</v>
      </c>
      <c r="AX1680" s="104" t="str">
        <f>HYPERLINK("https://www.google.iq/maps/search/+36.8085,42.0902/@36.8085,42.0902,14z?hl=en","Maplink2")</f>
        <v>Maplink2</v>
      </c>
      <c r="AY1680" s="104" t="str">
        <f>HYPERLINK("http://www.bing.com/maps/?lvl=14&amp;sty=h&amp;cp=36.8085~42.0902&amp;sp=point.36.8085_42.0902","Maplink3")</f>
        <v>Maplink3</v>
      </c>
    </row>
    <row r="1681" spans="1:51" x14ac:dyDescent="0.2">
      <c r="A1681" s="102">
        <v>17762</v>
      </c>
      <c r="B1681" s="103" t="s">
        <v>35</v>
      </c>
      <c r="C1681" s="103" t="s">
        <v>104</v>
      </c>
      <c r="D1681" s="103" t="s">
        <v>3147</v>
      </c>
      <c r="E1681" s="103" t="s">
        <v>3148</v>
      </c>
      <c r="F1681" s="103">
        <v>36.799256644800003</v>
      </c>
      <c r="G1681" s="103">
        <v>42.468240142600003</v>
      </c>
      <c r="H1681" s="102">
        <v>325</v>
      </c>
      <c r="I1681" s="102">
        <v>1950</v>
      </c>
      <c r="J1681" s="103"/>
      <c r="K1681" s="103"/>
      <c r="L1681" s="103"/>
      <c r="M1681" s="103">
        <v>300</v>
      </c>
      <c r="N1681" s="103">
        <v>25</v>
      </c>
      <c r="O1681" s="103"/>
      <c r="P1681" s="103"/>
      <c r="Q1681" s="103"/>
      <c r="R1681" s="103"/>
      <c r="S1681" s="103"/>
      <c r="T1681" s="103"/>
      <c r="U1681" s="103"/>
      <c r="V1681" s="103"/>
      <c r="W1681" s="103"/>
      <c r="X1681" s="103"/>
      <c r="Y1681" s="103">
        <v>180</v>
      </c>
      <c r="Z1681" s="103"/>
      <c r="AA1681" s="103"/>
      <c r="AB1681" s="103"/>
      <c r="AC1681" s="103"/>
      <c r="AD1681" s="103"/>
      <c r="AE1681" s="103"/>
      <c r="AF1681" s="103"/>
      <c r="AG1681" s="103">
        <v>145</v>
      </c>
      <c r="AH1681" s="103"/>
      <c r="AI1681" s="103"/>
      <c r="AJ1681" s="103"/>
      <c r="AK1681" s="103"/>
      <c r="AL1681" s="103"/>
      <c r="AM1681" s="103"/>
      <c r="AN1681" s="103"/>
      <c r="AO1681" s="103">
        <v>145</v>
      </c>
      <c r="AP1681" s="103"/>
      <c r="AQ1681" s="103"/>
      <c r="AR1681" s="103"/>
      <c r="AS1681" s="103"/>
      <c r="AT1681" s="103">
        <v>180</v>
      </c>
      <c r="AU1681" s="103"/>
      <c r="AV1681" s="103"/>
      <c r="AW1681" s="104" t="str">
        <f>HYPERLINK("http://www.openstreetmap.org/?mlat=36.7993&amp;mlon=42.4682&amp;zoom=12#map=12/36.7993/42.4682","Maplink1")</f>
        <v>Maplink1</v>
      </c>
      <c r="AX1681" s="104" t="str">
        <f>HYPERLINK("https://www.google.iq/maps/search/+36.7993,42.4682/@36.7993,42.4682,14z?hl=en","Maplink2")</f>
        <v>Maplink2</v>
      </c>
      <c r="AY1681" s="104" t="str">
        <f>HYPERLINK("http://www.bing.com/maps/?lvl=14&amp;sty=h&amp;cp=36.7993~42.4682&amp;sp=point.36.7993_42.4682","Maplink3")</f>
        <v>Maplink3</v>
      </c>
    </row>
    <row r="1682" spans="1:51" x14ac:dyDescent="0.2">
      <c r="A1682" s="102">
        <v>17657</v>
      </c>
      <c r="B1682" s="103" t="s">
        <v>35</v>
      </c>
      <c r="C1682" s="103" t="s">
        <v>104</v>
      </c>
      <c r="D1682" s="103" t="s">
        <v>3149</v>
      </c>
      <c r="E1682" s="103" t="s">
        <v>3150</v>
      </c>
      <c r="F1682" s="103">
        <v>36.762904624000001</v>
      </c>
      <c r="G1682" s="103">
        <v>42.211905092400002</v>
      </c>
      <c r="H1682" s="102">
        <v>240</v>
      </c>
      <c r="I1682" s="102">
        <v>1440</v>
      </c>
      <c r="J1682" s="103"/>
      <c r="K1682" s="103"/>
      <c r="L1682" s="103"/>
      <c r="M1682" s="103">
        <v>240</v>
      </c>
      <c r="N1682" s="103"/>
      <c r="O1682" s="103"/>
      <c r="P1682" s="103"/>
      <c r="Q1682" s="103"/>
      <c r="R1682" s="103"/>
      <c r="S1682" s="103"/>
      <c r="T1682" s="103"/>
      <c r="U1682" s="103"/>
      <c r="V1682" s="103"/>
      <c r="W1682" s="103"/>
      <c r="X1682" s="103"/>
      <c r="Y1682" s="103"/>
      <c r="Z1682" s="103"/>
      <c r="AA1682" s="103"/>
      <c r="AB1682" s="103"/>
      <c r="AC1682" s="103"/>
      <c r="AD1682" s="103"/>
      <c r="AE1682" s="103"/>
      <c r="AF1682" s="103"/>
      <c r="AG1682" s="103">
        <v>240</v>
      </c>
      <c r="AH1682" s="103"/>
      <c r="AI1682" s="103"/>
      <c r="AJ1682" s="103"/>
      <c r="AK1682" s="103"/>
      <c r="AL1682" s="103"/>
      <c r="AM1682" s="103"/>
      <c r="AN1682" s="103"/>
      <c r="AO1682" s="103">
        <v>240</v>
      </c>
      <c r="AP1682" s="103"/>
      <c r="AQ1682" s="103"/>
      <c r="AR1682" s="103"/>
      <c r="AS1682" s="103"/>
      <c r="AT1682" s="103"/>
      <c r="AU1682" s="103"/>
      <c r="AV1682" s="103"/>
      <c r="AW1682" s="104" t="str">
        <f>HYPERLINK("http://www.openstreetmap.org/?mlat=36.7629&amp;mlon=42.2119&amp;zoom=12#map=12/36.7629/42.2119","Maplink1")</f>
        <v>Maplink1</v>
      </c>
      <c r="AX1682" s="104" t="str">
        <f>HYPERLINK("https://www.google.iq/maps/search/+36.7629,42.2119/@36.7629,42.2119,14z?hl=en","Maplink2")</f>
        <v>Maplink2</v>
      </c>
      <c r="AY1682" s="104" t="str">
        <f>HYPERLINK("http://www.bing.com/maps/?lvl=14&amp;sty=h&amp;cp=36.7629~42.2119&amp;sp=point.36.7629_42.2119","Maplink3")</f>
        <v>Maplink3</v>
      </c>
    </row>
    <row r="1683" spans="1:51" x14ac:dyDescent="0.2">
      <c r="A1683" s="102">
        <v>17587</v>
      </c>
      <c r="B1683" s="103" t="s">
        <v>35</v>
      </c>
      <c r="C1683" s="103" t="s">
        <v>104</v>
      </c>
      <c r="D1683" s="103" t="s">
        <v>3151</v>
      </c>
      <c r="E1683" s="103" t="s">
        <v>3152</v>
      </c>
      <c r="F1683" s="103">
        <v>36.568891000000001</v>
      </c>
      <c r="G1683" s="103">
        <v>42.740855256300001</v>
      </c>
      <c r="H1683" s="102">
        <v>210</v>
      </c>
      <c r="I1683" s="102">
        <v>1260</v>
      </c>
      <c r="J1683" s="103"/>
      <c r="K1683" s="103"/>
      <c r="L1683" s="103"/>
      <c r="M1683" s="103">
        <v>200</v>
      </c>
      <c r="N1683" s="103">
        <v>10</v>
      </c>
      <c r="O1683" s="103"/>
      <c r="P1683" s="103"/>
      <c r="Q1683" s="103"/>
      <c r="R1683" s="103"/>
      <c r="S1683" s="103"/>
      <c r="T1683" s="103"/>
      <c r="U1683" s="103"/>
      <c r="V1683" s="103"/>
      <c r="W1683" s="103"/>
      <c r="X1683" s="103"/>
      <c r="Y1683" s="103"/>
      <c r="Z1683" s="103"/>
      <c r="AA1683" s="103"/>
      <c r="AB1683" s="103"/>
      <c r="AC1683" s="103"/>
      <c r="AD1683" s="103"/>
      <c r="AE1683" s="103"/>
      <c r="AF1683" s="103"/>
      <c r="AG1683" s="103">
        <v>210</v>
      </c>
      <c r="AH1683" s="103"/>
      <c r="AI1683" s="103"/>
      <c r="AJ1683" s="103"/>
      <c r="AK1683" s="103"/>
      <c r="AL1683" s="103"/>
      <c r="AM1683" s="103"/>
      <c r="AN1683" s="103"/>
      <c r="AO1683" s="103">
        <v>210</v>
      </c>
      <c r="AP1683" s="103"/>
      <c r="AQ1683" s="103"/>
      <c r="AR1683" s="103"/>
      <c r="AS1683" s="103"/>
      <c r="AT1683" s="103"/>
      <c r="AU1683" s="103"/>
      <c r="AV1683" s="103"/>
      <c r="AW1683" s="104" t="str">
        <f>HYPERLINK("http://www.openstreetmap.org/?mlat=36.5689&amp;mlon=42.7409&amp;zoom=12#map=12/36.5689/42.7409","Maplink1")</f>
        <v>Maplink1</v>
      </c>
      <c r="AX1683" s="104" t="str">
        <f>HYPERLINK("https://www.google.iq/maps/search/+36.5689,42.7409/@36.5689,42.7409,14z?hl=en","Maplink2")</f>
        <v>Maplink2</v>
      </c>
      <c r="AY1683" s="104" t="str">
        <f>HYPERLINK("http://www.bing.com/maps/?lvl=14&amp;sty=h&amp;cp=36.5689~42.7409&amp;sp=point.36.5689_42.7409","Maplink3")</f>
        <v>Maplink3</v>
      </c>
    </row>
    <row r="1684" spans="1:51" x14ac:dyDescent="0.2">
      <c r="A1684" s="102">
        <v>17749</v>
      </c>
      <c r="B1684" s="103" t="s">
        <v>35</v>
      </c>
      <c r="C1684" s="103" t="s">
        <v>104</v>
      </c>
      <c r="D1684" s="103" t="s">
        <v>3153</v>
      </c>
      <c r="E1684" s="103" t="s">
        <v>3154</v>
      </c>
      <c r="F1684" s="103">
        <v>36.703800000000001</v>
      </c>
      <c r="G1684" s="103">
        <v>42.609358140200001</v>
      </c>
      <c r="H1684" s="102">
        <v>345</v>
      </c>
      <c r="I1684" s="102">
        <v>2070</v>
      </c>
      <c r="J1684" s="103"/>
      <c r="K1684" s="103"/>
      <c r="L1684" s="103"/>
      <c r="M1684" s="103">
        <v>245</v>
      </c>
      <c r="N1684" s="103">
        <v>100</v>
      </c>
      <c r="O1684" s="103"/>
      <c r="P1684" s="103"/>
      <c r="Q1684" s="103"/>
      <c r="R1684" s="103"/>
      <c r="S1684" s="103"/>
      <c r="T1684" s="103"/>
      <c r="U1684" s="103"/>
      <c r="V1684" s="103"/>
      <c r="W1684" s="103"/>
      <c r="X1684" s="103"/>
      <c r="Y1684" s="103"/>
      <c r="Z1684" s="103"/>
      <c r="AA1684" s="103"/>
      <c r="AB1684" s="103"/>
      <c r="AC1684" s="103"/>
      <c r="AD1684" s="103"/>
      <c r="AE1684" s="103"/>
      <c r="AF1684" s="103"/>
      <c r="AG1684" s="103">
        <v>345</v>
      </c>
      <c r="AH1684" s="103"/>
      <c r="AI1684" s="103"/>
      <c r="AJ1684" s="103"/>
      <c r="AK1684" s="103"/>
      <c r="AL1684" s="103"/>
      <c r="AM1684" s="103"/>
      <c r="AN1684" s="103"/>
      <c r="AO1684" s="103">
        <v>345</v>
      </c>
      <c r="AP1684" s="103"/>
      <c r="AQ1684" s="103"/>
      <c r="AR1684" s="103"/>
      <c r="AS1684" s="103"/>
      <c r="AT1684" s="103"/>
      <c r="AU1684" s="103"/>
      <c r="AV1684" s="103"/>
      <c r="AW1684" s="104" t="str">
        <f>HYPERLINK("http://www.openstreetmap.org/?mlat=36.7038&amp;mlon=42.6094&amp;zoom=12#map=12/36.7038/42.6094","Maplink1")</f>
        <v>Maplink1</v>
      </c>
      <c r="AX1684" s="104" t="str">
        <f>HYPERLINK("https://www.google.iq/maps/search/+36.7038,42.6094/@36.7038,42.6094,14z?hl=en","Maplink2")</f>
        <v>Maplink2</v>
      </c>
      <c r="AY1684" s="104" t="str">
        <f>HYPERLINK("http://www.bing.com/maps/?lvl=14&amp;sty=h&amp;cp=36.7038~42.6094&amp;sp=point.36.7038_42.6094","Maplink3")</f>
        <v>Maplink3</v>
      </c>
    </row>
    <row r="1685" spans="1:51" x14ac:dyDescent="0.2">
      <c r="A1685" s="102">
        <v>33345</v>
      </c>
      <c r="B1685" s="103" t="s">
        <v>35</v>
      </c>
      <c r="C1685" s="103" t="s">
        <v>104</v>
      </c>
      <c r="D1685" s="103" t="s">
        <v>3155</v>
      </c>
      <c r="E1685" s="103" t="s">
        <v>3156</v>
      </c>
      <c r="F1685" s="103">
        <v>36.396619999999999</v>
      </c>
      <c r="G1685" s="103">
        <v>42.514042699999997</v>
      </c>
      <c r="H1685" s="102">
        <v>206</v>
      </c>
      <c r="I1685" s="102">
        <v>1236</v>
      </c>
      <c r="J1685" s="103"/>
      <c r="K1685" s="103"/>
      <c r="L1685" s="103"/>
      <c r="M1685" s="103">
        <v>206</v>
      </c>
      <c r="N1685" s="103"/>
      <c r="O1685" s="103"/>
      <c r="P1685" s="103"/>
      <c r="Q1685" s="103"/>
      <c r="R1685" s="103"/>
      <c r="S1685" s="103"/>
      <c r="T1685" s="103"/>
      <c r="U1685" s="103"/>
      <c r="V1685" s="103"/>
      <c r="W1685" s="103"/>
      <c r="X1685" s="103"/>
      <c r="Y1685" s="103"/>
      <c r="Z1685" s="103"/>
      <c r="AA1685" s="103">
        <v>17</v>
      </c>
      <c r="AB1685" s="103"/>
      <c r="AC1685" s="103">
        <v>3</v>
      </c>
      <c r="AD1685" s="103"/>
      <c r="AE1685" s="103"/>
      <c r="AF1685" s="103"/>
      <c r="AG1685" s="103">
        <v>186</v>
      </c>
      <c r="AH1685" s="103"/>
      <c r="AI1685" s="103"/>
      <c r="AJ1685" s="103"/>
      <c r="AK1685" s="103"/>
      <c r="AL1685" s="103"/>
      <c r="AM1685" s="103"/>
      <c r="AN1685" s="103"/>
      <c r="AO1685" s="103"/>
      <c r="AP1685" s="103"/>
      <c r="AQ1685" s="103"/>
      <c r="AR1685" s="103"/>
      <c r="AS1685" s="103">
        <v>206</v>
      </c>
      <c r="AT1685" s="103"/>
      <c r="AU1685" s="103"/>
      <c r="AV1685" s="103"/>
      <c r="AW1685" s="104" t="str">
        <f>HYPERLINK("http://www.openstreetmap.org/?mlat=36.3966&amp;mlon=42.514&amp;zoom=12#map=12/36.3966/42.514","Maplink1")</f>
        <v>Maplink1</v>
      </c>
      <c r="AX1685" s="104" t="str">
        <f>HYPERLINK("https://www.google.iq/maps/search/+36.3966,42.514/@36.3966,42.514,14z?hl=en","Maplink2")</f>
        <v>Maplink2</v>
      </c>
      <c r="AY1685" s="104" t="str">
        <f>HYPERLINK("http://www.bing.com/maps/?lvl=14&amp;sty=h&amp;cp=36.3966~42.514&amp;sp=point.36.3966_42.514","Maplink3")</f>
        <v>Maplink3</v>
      </c>
    </row>
    <row r="1686" spans="1:51" x14ac:dyDescent="0.2">
      <c r="A1686" s="102">
        <v>17645</v>
      </c>
      <c r="B1686" s="103" t="s">
        <v>35</v>
      </c>
      <c r="C1686" s="103" t="s">
        <v>104</v>
      </c>
      <c r="D1686" s="103" t="s">
        <v>3317</v>
      </c>
      <c r="E1686" s="103" t="s">
        <v>3318</v>
      </c>
      <c r="F1686" s="103">
        <v>36.521108099599999</v>
      </c>
      <c r="G1686" s="103">
        <v>42.083484917200003</v>
      </c>
      <c r="H1686" s="102">
        <v>114</v>
      </c>
      <c r="I1686" s="102">
        <v>684</v>
      </c>
      <c r="J1686" s="103"/>
      <c r="K1686" s="103"/>
      <c r="L1686" s="103"/>
      <c r="M1686" s="103">
        <v>114</v>
      </c>
      <c r="N1686" s="103"/>
      <c r="O1686" s="103"/>
      <c r="P1686" s="103"/>
      <c r="Q1686" s="103"/>
      <c r="R1686" s="103"/>
      <c r="S1686" s="103"/>
      <c r="T1686" s="103"/>
      <c r="U1686" s="103"/>
      <c r="V1686" s="103"/>
      <c r="W1686" s="103"/>
      <c r="X1686" s="103"/>
      <c r="Y1686" s="103"/>
      <c r="Z1686" s="103"/>
      <c r="AA1686" s="103"/>
      <c r="AB1686" s="103"/>
      <c r="AC1686" s="103"/>
      <c r="AD1686" s="103"/>
      <c r="AE1686" s="103"/>
      <c r="AF1686" s="103"/>
      <c r="AG1686" s="103">
        <v>114</v>
      </c>
      <c r="AH1686" s="103"/>
      <c r="AI1686" s="103"/>
      <c r="AJ1686" s="103"/>
      <c r="AK1686" s="103"/>
      <c r="AL1686" s="103"/>
      <c r="AM1686" s="103"/>
      <c r="AN1686" s="103"/>
      <c r="AO1686" s="103">
        <v>114</v>
      </c>
      <c r="AP1686" s="103"/>
      <c r="AQ1686" s="103"/>
      <c r="AR1686" s="103"/>
      <c r="AS1686" s="103"/>
      <c r="AT1686" s="103"/>
      <c r="AU1686" s="103"/>
      <c r="AV1686" s="103"/>
      <c r="AW1686" s="104" t="str">
        <f>HYPERLINK("http://www.openstreetmap.org/?mlat=36.5211&amp;mlon=42.0835&amp;zoom=12#map=12/36.5211/42.0835","Maplink1")</f>
        <v>Maplink1</v>
      </c>
      <c r="AX1686" s="104" t="str">
        <f>HYPERLINK("https://www.google.iq/maps/search/+36.5211,42.0835/@36.5211,42.0835,14z?hl=en","Maplink2")</f>
        <v>Maplink2</v>
      </c>
      <c r="AY1686" s="104" t="str">
        <f>HYPERLINK("http://www.bing.com/maps/?lvl=14&amp;sty=h&amp;cp=36.5211~42.0835&amp;sp=point.36.5211_42.0835","Maplink3")</f>
        <v>Maplink3</v>
      </c>
    </row>
    <row r="1687" spans="1:51" x14ac:dyDescent="0.2">
      <c r="A1687" s="102">
        <v>25694</v>
      </c>
      <c r="B1687" s="103" t="s">
        <v>35</v>
      </c>
      <c r="C1687" s="103" t="s">
        <v>104</v>
      </c>
      <c r="D1687" s="103" t="s">
        <v>3319</v>
      </c>
      <c r="E1687" s="103" t="s">
        <v>3320</v>
      </c>
      <c r="F1687" s="103">
        <v>36.548578999999997</v>
      </c>
      <c r="G1687" s="103">
        <v>42.463605121999997</v>
      </c>
      <c r="H1687" s="102">
        <v>65</v>
      </c>
      <c r="I1687" s="102">
        <v>390</v>
      </c>
      <c r="J1687" s="103"/>
      <c r="K1687" s="103"/>
      <c r="L1687" s="103"/>
      <c r="M1687" s="103">
        <v>65</v>
      </c>
      <c r="N1687" s="103"/>
      <c r="O1687" s="103"/>
      <c r="P1687" s="103"/>
      <c r="Q1687" s="103"/>
      <c r="R1687" s="103"/>
      <c r="S1687" s="103"/>
      <c r="T1687" s="103"/>
      <c r="U1687" s="103"/>
      <c r="V1687" s="103"/>
      <c r="W1687" s="103"/>
      <c r="X1687" s="103"/>
      <c r="Y1687" s="103">
        <v>10</v>
      </c>
      <c r="Z1687" s="103"/>
      <c r="AA1687" s="103"/>
      <c r="AB1687" s="103"/>
      <c r="AC1687" s="103"/>
      <c r="AD1687" s="103"/>
      <c r="AE1687" s="103"/>
      <c r="AF1687" s="103"/>
      <c r="AG1687" s="103">
        <v>55</v>
      </c>
      <c r="AH1687" s="103"/>
      <c r="AI1687" s="103"/>
      <c r="AJ1687" s="103"/>
      <c r="AK1687" s="103"/>
      <c r="AL1687" s="103"/>
      <c r="AM1687" s="103"/>
      <c r="AN1687" s="103"/>
      <c r="AO1687" s="103">
        <v>15</v>
      </c>
      <c r="AP1687" s="103"/>
      <c r="AQ1687" s="103">
        <v>50</v>
      </c>
      <c r="AR1687" s="103"/>
      <c r="AS1687" s="103"/>
      <c r="AT1687" s="103"/>
      <c r="AU1687" s="103"/>
      <c r="AV1687" s="103"/>
      <c r="AW1687" s="104" t="str">
        <f>HYPERLINK("http://www.openstreetmap.org/?mlat=36.5486&amp;mlon=42.4636&amp;zoom=12#map=12/36.5486/42.4636","Maplink1")</f>
        <v>Maplink1</v>
      </c>
      <c r="AX1687" s="104" t="str">
        <f>HYPERLINK("https://www.google.iq/maps/search/+36.5486,42.4636/@36.5486,42.4636,14z?hl=en","Maplink2")</f>
        <v>Maplink2</v>
      </c>
      <c r="AY1687" s="104" t="str">
        <f>HYPERLINK("http://www.bing.com/maps/?lvl=14&amp;sty=h&amp;cp=36.5486~42.4636&amp;sp=point.36.5486_42.4636","Maplink3")</f>
        <v>Maplink3</v>
      </c>
    </row>
    <row r="1688" spans="1:51" x14ac:dyDescent="0.2">
      <c r="A1688" s="102">
        <v>18034</v>
      </c>
      <c r="B1688" s="103" t="s">
        <v>35</v>
      </c>
      <c r="C1688" s="103" t="s">
        <v>104</v>
      </c>
      <c r="D1688" s="103" t="s">
        <v>3321</v>
      </c>
      <c r="E1688" s="103" t="s">
        <v>3322</v>
      </c>
      <c r="F1688" s="103">
        <v>36.686100000000003</v>
      </c>
      <c r="G1688" s="103">
        <v>42.455113338899999</v>
      </c>
      <c r="H1688" s="102">
        <v>375</v>
      </c>
      <c r="I1688" s="102">
        <v>2250</v>
      </c>
      <c r="J1688" s="103"/>
      <c r="K1688" s="103"/>
      <c r="L1688" s="103"/>
      <c r="M1688" s="103">
        <v>365</v>
      </c>
      <c r="N1688" s="103">
        <v>10</v>
      </c>
      <c r="O1688" s="103"/>
      <c r="P1688" s="103"/>
      <c r="Q1688" s="103"/>
      <c r="R1688" s="103"/>
      <c r="S1688" s="103"/>
      <c r="T1688" s="103"/>
      <c r="U1688" s="103"/>
      <c r="V1688" s="103"/>
      <c r="W1688" s="103"/>
      <c r="X1688" s="103"/>
      <c r="Y1688" s="103"/>
      <c r="Z1688" s="103"/>
      <c r="AA1688" s="103"/>
      <c r="AB1688" s="103"/>
      <c r="AC1688" s="103"/>
      <c r="AD1688" s="103"/>
      <c r="AE1688" s="103"/>
      <c r="AF1688" s="103"/>
      <c r="AG1688" s="103">
        <v>375</v>
      </c>
      <c r="AH1688" s="103"/>
      <c r="AI1688" s="103"/>
      <c r="AJ1688" s="103"/>
      <c r="AK1688" s="103"/>
      <c r="AL1688" s="103"/>
      <c r="AM1688" s="103"/>
      <c r="AN1688" s="103"/>
      <c r="AO1688" s="103">
        <v>375</v>
      </c>
      <c r="AP1688" s="103"/>
      <c r="AQ1688" s="103"/>
      <c r="AR1688" s="103"/>
      <c r="AS1688" s="103"/>
      <c r="AT1688" s="103"/>
      <c r="AU1688" s="103"/>
      <c r="AV1688" s="103"/>
      <c r="AW1688" s="104" t="str">
        <f>HYPERLINK("http://www.openstreetmap.org/?mlat=36.6861&amp;mlon=42.4551&amp;zoom=12#map=12/36.6861/42.4551","Maplink1")</f>
        <v>Maplink1</v>
      </c>
      <c r="AX1688" s="104" t="str">
        <f>HYPERLINK("https://www.google.iq/maps/search/+36.6861,42.4551/@36.6861,42.4551,14z?hl=en","Maplink2")</f>
        <v>Maplink2</v>
      </c>
      <c r="AY1688" s="104" t="str">
        <f>HYPERLINK("http://www.bing.com/maps/?lvl=14&amp;sty=h&amp;cp=36.6861~42.4551&amp;sp=point.36.6861_42.4551","Maplink3")</f>
        <v>Maplink3</v>
      </c>
    </row>
    <row r="1689" spans="1:51" x14ac:dyDescent="0.2">
      <c r="A1689" s="102">
        <v>21303</v>
      </c>
      <c r="B1689" s="103" t="s">
        <v>35</v>
      </c>
      <c r="C1689" s="103" t="s">
        <v>104</v>
      </c>
      <c r="D1689" s="103" t="s">
        <v>3323</v>
      </c>
      <c r="E1689" s="103" t="s">
        <v>3324</v>
      </c>
      <c r="F1689" s="103">
        <v>36.37941</v>
      </c>
      <c r="G1689" s="103">
        <v>42.418601299999999</v>
      </c>
      <c r="H1689" s="102">
        <v>1360</v>
      </c>
      <c r="I1689" s="102">
        <v>8160</v>
      </c>
      <c r="J1689" s="103"/>
      <c r="K1689" s="103"/>
      <c r="L1689" s="103">
        <v>32</v>
      </c>
      <c r="M1689" s="103">
        <v>1328</v>
      </c>
      <c r="N1689" s="103"/>
      <c r="O1689" s="103"/>
      <c r="P1689" s="103"/>
      <c r="Q1689" s="103"/>
      <c r="R1689" s="103"/>
      <c r="S1689" s="103"/>
      <c r="T1689" s="103"/>
      <c r="U1689" s="103"/>
      <c r="V1689" s="103">
        <v>218</v>
      </c>
      <c r="W1689" s="103">
        <v>162</v>
      </c>
      <c r="X1689" s="103">
        <v>35</v>
      </c>
      <c r="Y1689" s="103"/>
      <c r="Z1689" s="103"/>
      <c r="AA1689" s="103">
        <v>15</v>
      </c>
      <c r="AB1689" s="103">
        <v>252</v>
      </c>
      <c r="AC1689" s="103">
        <v>16</v>
      </c>
      <c r="AD1689" s="103">
        <v>2</v>
      </c>
      <c r="AE1689" s="103"/>
      <c r="AF1689" s="103">
        <v>592</v>
      </c>
      <c r="AG1689" s="103"/>
      <c r="AH1689" s="103">
        <v>12</v>
      </c>
      <c r="AI1689" s="103"/>
      <c r="AJ1689" s="103"/>
      <c r="AK1689" s="103">
        <v>3</v>
      </c>
      <c r="AL1689" s="103">
        <v>53</v>
      </c>
      <c r="AM1689" s="103"/>
      <c r="AN1689" s="103">
        <v>1360</v>
      </c>
      <c r="AO1689" s="103"/>
      <c r="AP1689" s="103"/>
      <c r="AQ1689" s="103"/>
      <c r="AR1689" s="103"/>
      <c r="AS1689" s="103"/>
      <c r="AT1689" s="103"/>
      <c r="AU1689" s="103"/>
      <c r="AV1689" s="103"/>
      <c r="AW1689" s="104" t="str">
        <f>HYPERLINK("http://www.openstreetmap.org/?mlat=36.3794&amp;mlon=42.4186&amp;zoom=12#map=12/36.3794/42.4186","Maplink1")</f>
        <v>Maplink1</v>
      </c>
      <c r="AX1689" s="104" t="str">
        <f>HYPERLINK("https://www.google.iq/maps/search/+36.3794,42.4186/@36.3794,42.4186,14z?hl=en","Maplink2")</f>
        <v>Maplink2</v>
      </c>
      <c r="AY1689" s="104" t="str">
        <f>HYPERLINK("http://www.bing.com/maps/?lvl=14&amp;sty=h&amp;cp=36.3794~42.4186&amp;sp=point.36.3794_42.4186","Maplink3")</f>
        <v>Maplink3</v>
      </c>
    </row>
    <row r="1690" spans="1:51" x14ac:dyDescent="0.2">
      <c r="A1690" s="102">
        <v>18308</v>
      </c>
      <c r="B1690" s="103" t="s">
        <v>35</v>
      </c>
      <c r="C1690" s="103" t="s">
        <v>104</v>
      </c>
      <c r="D1690" s="103" t="s">
        <v>374</v>
      </c>
      <c r="E1690" s="103" t="s">
        <v>195</v>
      </c>
      <c r="F1690" s="103">
        <v>36.802461914699997</v>
      </c>
      <c r="G1690" s="103">
        <v>42.097154477399997</v>
      </c>
      <c r="H1690" s="102">
        <v>1320</v>
      </c>
      <c r="I1690" s="102">
        <v>7920</v>
      </c>
      <c r="J1690" s="103"/>
      <c r="K1690" s="103"/>
      <c r="L1690" s="103"/>
      <c r="M1690" s="103">
        <v>1270</v>
      </c>
      <c r="N1690" s="103">
        <v>50</v>
      </c>
      <c r="O1690" s="103"/>
      <c r="P1690" s="103"/>
      <c r="Q1690" s="103"/>
      <c r="R1690" s="103"/>
      <c r="S1690" s="103"/>
      <c r="T1690" s="103"/>
      <c r="U1690" s="103"/>
      <c r="V1690" s="103"/>
      <c r="W1690" s="103"/>
      <c r="X1690" s="103"/>
      <c r="Y1690" s="103"/>
      <c r="Z1690" s="103"/>
      <c r="AA1690" s="103"/>
      <c r="AB1690" s="103"/>
      <c r="AC1690" s="103"/>
      <c r="AD1690" s="103"/>
      <c r="AE1690" s="103"/>
      <c r="AF1690" s="103"/>
      <c r="AG1690" s="103">
        <v>1320</v>
      </c>
      <c r="AH1690" s="103"/>
      <c r="AI1690" s="103"/>
      <c r="AJ1690" s="103"/>
      <c r="AK1690" s="103"/>
      <c r="AL1690" s="103"/>
      <c r="AM1690" s="103"/>
      <c r="AN1690" s="103"/>
      <c r="AO1690" s="103">
        <v>1320</v>
      </c>
      <c r="AP1690" s="103"/>
      <c r="AQ1690" s="103"/>
      <c r="AR1690" s="103"/>
      <c r="AS1690" s="103"/>
      <c r="AT1690" s="103"/>
      <c r="AU1690" s="103"/>
      <c r="AV1690" s="103"/>
      <c r="AW1690" s="104" t="str">
        <f>HYPERLINK("http://www.openstreetmap.org/?mlat=36.8025&amp;mlon=42.0972&amp;zoom=12#map=12/36.8025/42.0972","Maplink1")</f>
        <v>Maplink1</v>
      </c>
      <c r="AX1690" s="104" t="str">
        <f>HYPERLINK("https://www.google.iq/maps/search/+36.8025,42.0972/@36.8025,42.0972,14z?hl=en","Maplink2")</f>
        <v>Maplink2</v>
      </c>
      <c r="AY1690" s="104" t="str">
        <f>HYPERLINK("http://www.bing.com/maps/?lvl=14&amp;sty=h&amp;cp=36.8025~42.0972&amp;sp=point.36.8025_42.0972","Maplink3")</f>
        <v>Maplink3</v>
      </c>
    </row>
    <row r="1691" spans="1:51" x14ac:dyDescent="0.2">
      <c r="A1691" s="102">
        <v>27354</v>
      </c>
      <c r="B1691" s="103" t="s">
        <v>35</v>
      </c>
      <c r="C1691" s="103" t="s">
        <v>104</v>
      </c>
      <c r="D1691" s="103" t="s">
        <v>3194</v>
      </c>
      <c r="E1691" s="103" t="s">
        <v>3195</v>
      </c>
      <c r="F1691" s="103">
        <v>36.844505740000002</v>
      </c>
      <c r="G1691" s="103">
        <v>42.382485549999998</v>
      </c>
      <c r="H1691" s="102">
        <v>42</v>
      </c>
      <c r="I1691" s="102">
        <v>252</v>
      </c>
      <c r="J1691" s="103"/>
      <c r="K1691" s="103"/>
      <c r="L1691" s="103"/>
      <c r="M1691" s="103">
        <v>42</v>
      </c>
      <c r="N1691" s="103"/>
      <c r="O1691" s="103"/>
      <c r="P1691" s="103"/>
      <c r="Q1691" s="103"/>
      <c r="R1691" s="103"/>
      <c r="S1691" s="103"/>
      <c r="T1691" s="103"/>
      <c r="U1691" s="103"/>
      <c r="V1691" s="103"/>
      <c r="W1691" s="103"/>
      <c r="X1691" s="103"/>
      <c r="Y1691" s="103">
        <v>42</v>
      </c>
      <c r="Z1691" s="103"/>
      <c r="AA1691" s="103"/>
      <c r="AB1691" s="103"/>
      <c r="AC1691" s="103"/>
      <c r="AD1691" s="103"/>
      <c r="AE1691" s="103"/>
      <c r="AF1691" s="103"/>
      <c r="AG1691" s="103"/>
      <c r="AH1691" s="103"/>
      <c r="AI1691" s="103"/>
      <c r="AJ1691" s="103"/>
      <c r="AK1691" s="103"/>
      <c r="AL1691" s="103"/>
      <c r="AM1691" s="103"/>
      <c r="AN1691" s="103"/>
      <c r="AO1691" s="103"/>
      <c r="AP1691" s="103"/>
      <c r="AQ1691" s="103"/>
      <c r="AR1691" s="103"/>
      <c r="AS1691" s="103"/>
      <c r="AT1691" s="103">
        <v>42</v>
      </c>
      <c r="AU1691" s="103"/>
      <c r="AV1691" s="103"/>
      <c r="AW1691" s="104" t="str">
        <f>HYPERLINK("http://www.openstreetmap.org/?mlat=36.8445&amp;mlon=42.3825&amp;zoom=12#map=12/36.8445/42.3825","Maplink1")</f>
        <v>Maplink1</v>
      </c>
      <c r="AX1691" s="104" t="str">
        <f>HYPERLINK("https://www.google.iq/maps/search/+36.8445,42.3825/@36.8445,42.3825,14z?hl=en","Maplink2")</f>
        <v>Maplink2</v>
      </c>
      <c r="AY1691" s="104" t="str">
        <f>HYPERLINK("http://www.bing.com/maps/?lvl=14&amp;sty=h&amp;cp=36.8445~42.3825&amp;sp=point.36.8445_42.3825","Maplink3")</f>
        <v>Maplink3</v>
      </c>
    </row>
    <row r="1692" spans="1:51" x14ac:dyDescent="0.2">
      <c r="A1692" s="102">
        <v>18302</v>
      </c>
      <c r="B1692" s="103" t="s">
        <v>35</v>
      </c>
      <c r="C1692" s="103" t="s">
        <v>104</v>
      </c>
      <c r="D1692" s="103" t="s">
        <v>3196</v>
      </c>
      <c r="E1692" s="103" t="s">
        <v>373</v>
      </c>
      <c r="F1692" s="103">
        <v>36.374969999999998</v>
      </c>
      <c r="G1692" s="103">
        <v>42.428236400000003</v>
      </c>
      <c r="H1692" s="102">
        <v>2305</v>
      </c>
      <c r="I1692" s="102">
        <v>13830</v>
      </c>
      <c r="J1692" s="103"/>
      <c r="K1692" s="103"/>
      <c r="L1692" s="103">
        <v>32</v>
      </c>
      <c r="M1692" s="103">
        <v>2271</v>
      </c>
      <c r="N1692" s="103">
        <v>2</v>
      </c>
      <c r="O1692" s="103"/>
      <c r="P1692" s="103"/>
      <c r="Q1692" s="103"/>
      <c r="R1692" s="103"/>
      <c r="S1692" s="103"/>
      <c r="T1692" s="103"/>
      <c r="U1692" s="103"/>
      <c r="V1692" s="103">
        <v>103</v>
      </c>
      <c r="W1692" s="103">
        <v>160</v>
      </c>
      <c r="X1692" s="103">
        <v>6</v>
      </c>
      <c r="Y1692" s="103"/>
      <c r="Z1692" s="103"/>
      <c r="AA1692" s="103">
        <v>10</v>
      </c>
      <c r="AB1692" s="103">
        <v>761</v>
      </c>
      <c r="AC1692" s="103">
        <v>21</v>
      </c>
      <c r="AD1692" s="103">
        <v>2</v>
      </c>
      <c r="AE1692" s="103">
        <v>1</v>
      </c>
      <c r="AF1692" s="103">
        <v>957</v>
      </c>
      <c r="AG1692" s="103">
        <v>69</v>
      </c>
      <c r="AH1692" s="103">
        <v>41</v>
      </c>
      <c r="AI1692" s="103"/>
      <c r="AJ1692" s="103">
        <v>2</v>
      </c>
      <c r="AK1692" s="103">
        <v>25</v>
      </c>
      <c r="AL1692" s="103">
        <v>147</v>
      </c>
      <c r="AM1692" s="103"/>
      <c r="AN1692" s="103">
        <v>2305</v>
      </c>
      <c r="AO1692" s="103"/>
      <c r="AP1692" s="103"/>
      <c r="AQ1692" s="103"/>
      <c r="AR1692" s="103"/>
      <c r="AS1692" s="103"/>
      <c r="AT1692" s="103"/>
      <c r="AU1692" s="103"/>
      <c r="AV1692" s="103"/>
      <c r="AW1692" s="104" t="str">
        <f>HYPERLINK("http://www.openstreetmap.org/?mlat=36.375&amp;mlon=42.4282&amp;zoom=12#map=12/36.375/42.4282","Maplink1")</f>
        <v>Maplink1</v>
      </c>
      <c r="AX1692" s="104" t="str">
        <f>HYPERLINK("https://www.google.iq/maps/search/+36.375,42.4282/@36.375,42.4282,14z?hl=en","Maplink2")</f>
        <v>Maplink2</v>
      </c>
      <c r="AY1692" s="104" t="str">
        <f>HYPERLINK("http://www.bing.com/maps/?lvl=14&amp;sty=h&amp;cp=36.375~42.4282&amp;sp=point.36.375_42.4282","Maplink3")</f>
        <v>Maplink3</v>
      </c>
    </row>
    <row r="1693" spans="1:51" x14ac:dyDescent="0.2">
      <c r="A1693" s="102">
        <v>22801</v>
      </c>
      <c r="B1693" s="103" t="s">
        <v>35</v>
      </c>
      <c r="C1693" s="103" t="s">
        <v>104</v>
      </c>
      <c r="D1693" s="103" t="s">
        <v>3197</v>
      </c>
      <c r="E1693" s="103" t="s">
        <v>3198</v>
      </c>
      <c r="F1693" s="103">
        <v>36.528399999999998</v>
      </c>
      <c r="G1693" s="103">
        <v>42.332640447300001</v>
      </c>
      <c r="H1693" s="102">
        <v>210</v>
      </c>
      <c r="I1693" s="102">
        <v>1260</v>
      </c>
      <c r="J1693" s="103"/>
      <c r="K1693" s="103"/>
      <c r="L1693" s="103"/>
      <c r="M1693" s="103">
        <v>200</v>
      </c>
      <c r="N1693" s="103">
        <v>10</v>
      </c>
      <c r="O1693" s="103"/>
      <c r="P1693" s="103"/>
      <c r="Q1693" s="103"/>
      <c r="R1693" s="103"/>
      <c r="S1693" s="103"/>
      <c r="T1693" s="103"/>
      <c r="U1693" s="103"/>
      <c r="V1693" s="103"/>
      <c r="W1693" s="103"/>
      <c r="X1693" s="103"/>
      <c r="Y1693" s="103"/>
      <c r="Z1693" s="103"/>
      <c r="AA1693" s="103"/>
      <c r="AB1693" s="103"/>
      <c r="AC1693" s="103"/>
      <c r="AD1693" s="103"/>
      <c r="AE1693" s="103"/>
      <c r="AF1693" s="103"/>
      <c r="AG1693" s="103">
        <v>210</v>
      </c>
      <c r="AH1693" s="103"/>
      <c r="AI1693" s="103"/>
      <c r="AJ1693" s="103"/>
      <c r="AK1693" s="103"/>
      <c r="AL1693" s="103"/>
      <c r="AM1693" s="103"/>
      <c r="AN1693" s="103"/>
      <c r="AO1693" s="103"/>
      <c r="AP1693" s="103">
        <v>210</v>
      </c>
      <c r="AQ1693" s="103"/>
      <c r="AR1693" s="103"/>
      <c r="AS1693" s="103"/>
      <c r="AT1693" s="103"/>
      <c r="AU1693" s="103"/>
      <c r="AV1693" s="103"/>
      <c r="AW1693" s="104" t="str">
        <f>HYPERLINK("http://www.openstreetmap.org/?mlat=36.5284&amp;mlon=42.3326&amp;zoom=12#map=12/36.5284/42.3326","Maplink1")</f>
        <v>Maplink1</v>
      </c>
      <c r="AX1693" s="104" t="str">
        <f>HYPERLINK("https://www.google.iq/maps/search/+36.5284,42.3326/@36.5284,42.3326,14z?hl=en","Maplink2")</f>
        <v>Maplink2</v>
      </c>
      <c r="AY1693" s="104" t="str">
        <f>HYPERLINK("http://www.bing.com/maps/?lvl=14&amp;sty=h&amp;cp=36.5284~42.3326&amp;sp=point.36.5284_42.3326","Maplink3")</f>
        <v>Maplink3</v>
      </c>
    </row>
    <row r="1694" spans="1:51" x14ac:dyDescent="0.2">
      <c r="A1694" s="102">
        <v>24809</v>
      </c>
      <c r="B1694" s="103" t="s">
        <v>35</v>
      </c>
      <c r="C1694" s="103" t="s">
        <v>104</v>
      </c>
      <c r="D1694" s="103" t="s">
        <v>3213</v>
      </c>
      <c r="E1694" s="103" t="s">
        <v>375</v>
      </c>
      <c r="F1694" s="103">
        <v>36.3920374</v>
      </c>
      <c r="G1694" s="103">
        <v>42.4765978</v>
      </c>
      <c r="H1694" s="102">
        <v>539</v>
      </c>
      <c r="I1694" s="102">
        <v>3234</v>
      </c>
      <c r="J1694" s="103"/>
      <c r="K1694" s="103"/>
      <c r="L1694" s="103"/>
      <c r="M1694" s="103">
        <v>539</v>
      </c>
      <c r="N1694" s="103"/>
      <c r="O1694" s="103"/>
      <c r="P1694" s="103"/>
      <c r="Q1694" s="103"/>
      <c r="R1694" s="103"/>
      <c r="S1694" s="103"/>
      <c r="T1694" s="103"/>
      <c r="U1694" s="103"/>
      <c r="V1694" s="103"/>
      <c r="W1694" s="103">
        <v>16</v>
      </c>
      <c r="X1694" s="103"/>
      <c r="Y1694" s="103">
        <v>51</v>
      </c>
      <c r="Z1694" s="103"/>
      <c r="AA1694" s="103"/>
      <c r="AB1694" s="103">
        <v>30</v>
      </c>
      <c r="AC1694" s="103">
        <v>64</v>
      </c>
      <c r="AD1694" s="103"/>
      <c r="AE1694" s="103"/>
      <c r="AF1694" s="103">
        <v>200</v>
      </c>
      <c r="AG1694" s="103">
        <v>129</v>
      </c>
      <c r="AH1694" s="103"/>
      <c r="AI1694" s="103"/>
      <c r="AJ1694" s="103">
        <v>49</v>
      </c>
      <c r="AK1694" s="103"/>
      <c r="AL1694" s="103"/>
      <c r="AM1694" s="103"/>
      <c r="AN1694" s="103">
        <v>440</v>
      </c>
      <c r="AO1694" s="103">
        <v>99</v>
      </c>
      <c r="AP1694" s="103"/>
      <c r="AQ1694" s="103"/>
      <c r="AR1694" s="103"/>
      <c r="AS1694" s="103"/>
      <c r="AT1694" s="103"/>
      <c r="AU1694" s="103"/>
      <c r="AV1694" s="103"/>
      <c r="AW1694" s="104" t="str">
        <f>HYPERLINK("http://www.openstreetmap.org/?mlat=36.392&amp;mlon=42.4766&amp;zoom=12#map=12/36.392/42.4766","Maplink1")</f>
        <v>Maplink1</v>
      </c>
      <c r="AX1694" s="104" t="str">
        <f>HYPERLINK("https://www.google.iq/maps/search/+36.392,42.4766/@36.392,42.4766,14z?hl=en","Maplink2")</f>
        <v>Maplink2</v>
      </c>
      <c r="AY1694" s="104" t="str">
        <f>HYPERLINK("http://www.bing.com/maps/?lvl=14&amp;sty=h&amp;cp=36.392~42.4766&amp;sp=point.36.392_42.4766","Maplink3")</f>
        <v>Maplink3</v>
      </c>
    </row>
    <row r="1695" spans="1:51" x14ac:dyDescent="0.2">
      <c r="A1695" s="102">
        <v>25819</v>
      </c>
      <c r="B1695" s="103" t="s">
        <v>35</v>
      </c>
      <c r="C1695" s="103" t="s">
        <v>104</v>
      </c>
      <c r="D1695" s="103" t="s">
        <v>3214</v>
      </c>
      <c r="E1695" s="103" t="s">
        <v>1235</v>
      </c>
      <c r="F1695" s="103">
        <v>36.383068999999999</v>
      </c>
      <c r="G1695" s="103">
        <v>42.470675</v>
      </c>
      <c r="H1695" s="102">
        <v>525</v>
      </c>
      <c r="I1695" s="102">
        <v>3150</v>
      </c>
      <c r="J1695" s="103"/>
      <c r="K1695" s="103"/>
      <c r="L1695" s="103">
        <v>4</v>
      </c>
      <c r="M1695" s="103">
        <v>513</v>
      </c>
      <c r="N1695" s="103">
        <v>8</v>
      </c>
      <c r="O1695" s="103"/>
      <c r="P1695" s="103"/>
      <c r="Q1695" s="103"/>
      <c r="R1695" s="103"/>
      <c r="S1695" s="103"/>
      <c r="T1695" s="103"/>
      <c r="U1695" s="103"/>
      <c r="V1695" s="103">
        <v>14</v>
      </c>
      <c r="W1695" s="103">
        <v>23</v>
      </c>
      <c r="X1695" s="103"/>
      <c r="Y1695" s="103">
        <v>44</v>
      </c>
      <c r="Z1695" s="103"/>
      <c r="AA1695" s="103">
        <v>12</v>
      </c>
      <c r="AB1695" s="103">
        <v>54</v>
      </c>
      <c r="AC1695" s="103">
        <v>84</v>
      </c>
      <c r="AD1695" s="103"/>
      <c r="AE1695" s="103">
        <v>15</v>
      </c>
      <c r="AF1695" s="103">
        <v>92</v>
      </c>
      <c r="AG1695" s="103">
        <v>89</v>
      </c>
      <c r="AH1695" s="103"/>
      <c r="AI1695" s="103"/>
      <c r="AJ1695" s="103">
        <v>98</v>
      </c>
      <c r="AK1695" s="103"/>
      <c r="AL1695" s="103"/>
      <c r="AM1695" s="103"/>
      <c r="AN1695" s="103"/>
      <c r="AO1695" s="103">
        <v>525</v>
      </c>
      <c r="AP1695" s="103"/>
      <c r="AQ1695" s="103"/>
      <c r="AR1695" s="103"/>
      <c r="AS1695" s="103"/>
      <c r="AT1695" s="103"/>
      <c r="AU1695" s="103"/>
      <c r="AV1695" s="103"/>
      <c r="AW1695" s="104" t="str">
        <f>HYPERLINK("http://www.openstreetmap.org/?mlat=36.3831&amp;mlon=42.4707&amp;zoom=12#map=12/36.3831/42.4707","Maplink1")</f>
        <v>Maplink1</v>
      </c>
      <c r="AX1695" s="104" t="str">
        <f>HYPERLINK("https://www.google.iq/maps/search/+36.3831,42.4707/@36.3831,42.4707,14z?hl=en","Maplink2")</f>
        <v>Maplink2</v>
      </c>
      <c r="AY1695" s="104" t="str">
        <f>HYPERLINK("http://www.bing.com/maps/?lvl=14&amp;sty=h&amp;cp=36.3831~42.4707&amp;sp=point.36.3831_42.4707","Maplink3")</f>
        <v>Maplink3</v>
      </c>
    </row>
    <row r="1696" spans="1:51" x14ac:dyDescent="0.2">
      <c r="A1696" s="102">
        <v>17439</v>
      </c>
      <c r="B1696" s="103" t="s">
        <v>35</v>
      </c>
      <c r="C1696" s="103" t="s">
        <v>104</v>
      </c>
      <c r="D1696" s="103" t="s">
        <v>3215</v>
      </c>
      <c r="E1696" s="103" t="s">
        <v>3216</v>
      </c>
      <c r="F1696" s="103">
        <v>36.442366999999997</v>
      </c>
      <c r="G1696" s="103">
        <v>42.629963500000002</v>
      </c>
      <c r="H1696" s="102">
        <v>195</v>
      </c>
      <c r="I1696" s="102">
        <v>1170</v>
      </c>
      <c r="J1696" s="103"/>
      <c r="K1696" s="103"/>
      <c r="L1696" s="103"/>
      <c r="M1696" s="103">
        <v>191</v>
      </c>
      <c r="N1696" s="103">
        <v>4</v>
      </c>
      <c r="O1696" s="103"/>
      <c r="P1696" s="103"/>
      <c r="Q1696" s="103"/>
      <c r="R1696" s="103"/>
      <c r="S1696" s="103"/>
      <c r="T1696" s="103"/>
      <c r="U1696" s="103"/>
      <c r="V1696" s="103"/>
      <c r="W1696" s="103"/>
      <c r="X1696" s="103"/>
      <c r="Y1696" s="103"/>
      <c r="Z1696" s="103"/>
      <c r="AA1696" s="103"/>
      <c r="AB1696" s="103"/>
      <c r="AC1696" s="103"/>
      <c r="AD1696" s="103"/>
      <c r="AE1696" s="103"/>
      <c r="AF1696" s="103"/>
      <c r="AG1696" s="103">
        <v>195</v>
      </c>
      <c r="AH1696" s="103"/>
      <c r="AI1696" s="103"/>
      <c r="AJ1696" s="103"/>
      <c r="AK1696" s="103"/>
      <c r="AL1696" s="103"/>
      <c r="AM1696" s="103"/>
      <c r="AN1696" s="103"/>
      <c r="AO1696" s="103"/>
      <c r="AP1696" s="103"/>
      <c r="AQ1696" s="103"/>
      <c r="AR1696" s="103"/>
      <c r="AS1696" s="103"/>
      <c r="AT1696" s="103">
        <v>195</v>
      </c>
      <c r="AU1696" s="103"/>
      <c r="AV1696" s="103"/>
      <c r="AW1696" s="104" t="str">
        <f>HYPERLINK("http://www.openstreetmap.org/?mlat=36.4424&amp;mlon=42.63&amp;zoom=12#map=12/36.4424/42.63","Maplink1")</f>
        <v>Maplink1</v>
      </c>
      <c r="AX1696" s="104" t="str">
        <f>HYPERLINK("https://www.google.iq/maps/search/+36.4424,42.63/@36.4424,42.63,14z?hl=en","Maplink2")</f>
        <v>Maplink2</v>
      </c>
      <c r="AY1696" s="104" t="str">
        <f>HYPERLINK("http://www.bing.com/maps/?lvl=14&amp;sty=h&amp;cp=36.4424~42.63&amp;sp=point.36.4424_42.63","Maplink3")</f>
        <v>Maplink3</v>
      </c>
    </row>
    <row r="1697" spans="1:51" x14ac:dyDescent="0.2">
      <c r="A1697" s="102">
        <v>18236</v>
      </c>
      <c r="B1697" s="103" t="s">
        <v>35</v>
      </c>
      <c r="C1697" s="103" t="s">
        <v>104</v>
      </c>
      <c r="D1697" s="103" t="s">
        <v>3217</v>
      </c>
      <c r="E1697" s="103" t="s">
        <v>3218</v>
      </c>
      <c r="F1697" s="103">
        <v>36.683100000000003</v>
      </c>
      <c r="G1697" s="103">
        <v>42.6281114023</v>
      </c>
      <c r="H1697" s="102">
        <v>18</v>
      </c>
      <c r="I1697" s="102">
        <v>108</v>
      </c>
      <c r="J1697" s="103"/>
      <c r="K1697" s="103"/>
      <c r="L1697" s="103"/>
      <c r="M1697" s="103">
        <v>18</v>
      </c>
      <c r="N1697" s="103"/>
      <c r="O1697" s="103"/>
      <c r="P1697" s="103"/>
      <c r="Q1697" s="103"/>
      <c r="R1697" s="103"/>
      <c r="S1697" s="103"/>
      <c r="T1697" s="103"/>
      <c r="U1697" s="103"/>
      <c r="V1697" s="103"/>
      <c r="W1697" s="103"/>
      <c r="X1697" s="103"/>
      <c r="Y1697" s="103"/>
      <c r="Z1697" s="103"/>
      <c r="AA1697" s="103"/>
      <c r="AB1697" s="103"/>
      <c r="AC1697" s="103"/>
      <c r="AD1697" s="103"/>
      <c r="AE1697" s="103"/>
      <c r="AF1697" s="103"/>
      <c r="AG1697" s="103">
        <v>18</v>
      </c>
      <c r="AH1697" s="103"/>
      <c r="AI1697" s="103"/>
      <c r="AJ1697" s="103"/>
      <c r="AK1697" s="103"/>
      <c r="AL1697" s="103"/>
      <c r="AM1697" s="103"/>
      <c r="AN1697" s="103"/>
      <c r="AO1697" s="103">
        <v>18</v>
      </c>
      <c r="AP1697" s="103"/>
      <c r="AQ1697" s="103"/>
      <c r="AR1697" s="103"/>
      <c r="AS1697" s="103"/>
      <c r="AT1697" s="103"/>
      <c r="AU1697" s="103"/>
      <c r="AV1697" s="103"/>
      <c r="AW1697" s="104" t="str">
        <f>HYPERLINK("http://www.openstreetmap.org/?mlat=36.6831&amp;mlon=42.6281&amp;zoom=12#map=12/36.6831/42.6281","Maplink1")</f>
        <v>Maplink1</v>
      </c>
      <c r="AX1697" s="104" t="str">
        <f>HYPERLINK("https://www.google.iq/maps/search/+36.6831,42.6281/@36.6831,42.6281,14z?hl=en","Maplink2")</f>
        <v>Maplink2</v>
      </c>
      <c r="AY1697" s="104" t="str">
        <f>HYPERLINK("http://www.bing.com/maps/?lvl=14&amp;sty=h&amp;cp=36.6831~42.6281&amp;sp=point.36.6831_42.6281","Maplink3")</f>
        <v>Maplink3</v>
      </c>
    </row>
    <row r="1698" spans="1:51" x14ac:dyDescent="0.2">
      <c r="A1698" s="102">
        <v>33277</v>
      </c>
      <c r="B1698" s="103" t="s">
        <v>35</v>
      </c>
      <c r="C1698" s="103" t="s">
        <v>104</v>
      </c>
      <c r="D1698" s="103" t="s">
        <v>3219</v>
      </c>
      <c r="E1698" s="103" t="s">
        <v>3220</v>
      </c>
      <c r="F1698" s="103">
        <v>36.379800000000003</v>
      </c>
      <c r="G1698" s="103">
        <v>42.463825200000002</v>
      </c>
      <c r="H1698" s="102">
        <v>802</v>
      </c>
      <c r="I1698" s="102">
        <v>4812</v>
      </c>
      <c r="J1698" s="103"/>
      <c r="K1698" s="103"/>
      <c r="L1698" s="103">
        <v>17</v>
      </c>
      <c r="M1698" s="103">
        <v>785</v>
      </c>
      <c r="N1698" s="103"/>
      <c r="O1698" s="103"/>
      <c r="P1698" s="103"/>
      <c r="Q1698" s="103"/>
      <c r="R1698" s="103"/>
      <c r="S1698" s="103"/>
      <c r="T1698" s="103"/>
      <c r="U1698" s="103"/>
      <c r="V1698" s="103"/>
      <c r="W1698" s="103"/>
      <c r="X1698" s="103"/>
      <c r="Y1698" s="103">
        <v>89</v>
      </c>
      <c r="Z1698" s="103"/>
      <c r="AA1698" s="103">
        <v>55</v>
      </c>
      <c r="AB1698" s="103">
        <v>76</v>
      </c>
      <c r="AC1698" s="103">
        <v>59</v>
      </c>
      <c r="AD1698" s="103"/>
      <c r="AE1698" s="103"/>
      <c r="AF1698" s="103">
        <v>111</v>
      </c>
      <c r="AG1698" s="103">
        <v>247</v>
      </c>
      <c r="AH1698" s="103"/>
      <c r="AI1698" s="103"/>
      <c r="AJ1698" s="103">
        <v>165</v>
      </c>
      <c r="AK1698" s="103"/>
      <c r="AL1698" s="103"/>
      <c r="AM1698" s="103"/>
      <c r="AN1698" s="103"/>
      <c r="AO1698" s="103">
        <v>802</v>
      </c>
      <c r="AP1698" s="103"/>
      <c r="AQ1698" s="103"/>
      <c r="AR1698" s="103"/>
      <c r="AS1698" s="103"/>
      <c r="AT1698" s="103"/>
      <c r="AU1698" s="103"/>
      <c r="AV1698" s="103"/>
      <c r="AW1698" s="104" t="str">
        <f>HYPERLINK("http://www.openstreetmap.org/?mlat=36.3798&amp;mlon=42.4638&amp;zoom=12#map=12/36.3798/42.4638","Maplink1")</f>
        <v>Maplink1</v>
      </c>
      <c r="AX1698" s="104" t="str">
        <f>HYPERLINK("https://www.google.iq/maps/search/+36.3798,42.4638/@36.3798,42.4638,14z?hl=en","Maplink2")</f>
        <v>Maplink2</v>
      </c>
      <c r="AY1698" s="104" t="str">
        <f>HYPERLINK("http://www.bing.com/maps/?lvl=14&amp;sty=h&amp;cp=36.3798~42.4638&amp;sp=point.36.3798_42.4638","Maplink3")</f>
        <v>Maplink3</v>
      </c>
    </row>
    <row r="1699" spans="1:51" x14ac:dyDescent="0.2">
      <c r="A1699" s="102">
        <v>17673</v>
      </c>
      <c r="B1699" s="103" t="s">
        <v>35</v>
      </c>
      <c r="C1699" s="103" t="s">
        <v>104</v>
      </c>
      <c r="D1699" s="103" t="s">
        <v>3221</v>
      </c>
      <c r="E1699" s="103" t="s">
        <v>3222</v>
      </c>
      <c r="F1699" s="103">
        <v>36.978917000000003</v>
      </c>
      <c r="G1699" s="103">
        <v>42.304622999999999</v>
      </c>
      <c r="H1699" s="102">
        <v>165</v>
      </c>
      <c r="I1699" s="102">
        <v>990</v>
      </c>
      <c r="J1699" s="103"/>
      <c r="K1699" s="103"/>
      <c r="L1699" s="103"/>
      <c r="M1699" s="103">
        <v>165</v>
      </c>
      <c r="N1699" s="103"/>
      <c r="O1699" s="103"/>
      <c r="P1699" s="103"/>
      <c r="Q1699" s="103"/>
      <c r="R1699" s="103"/>
      <c r="S1699" s="103"/>
      <c r="T1699" s="103"/>
      <c r="U1699" s="103"/>
      <c r="V1699" s="103"/>
      <c r="W1699" s="103"/>
      <c r="X1699" s="103"/>
      <c r="Y1699" s="103">
        <v>165</v>
      </c>
      <c r="Z1699" s="103"/>
      <c r="AA1699" s="103"/>
      <c r="AB1699" s="103"/>
      <c r="AC1699" s="103"/>
      <c r="AD1699" s="103"/>
      <c r="AE1699" s="103"/>
      <c r="AF1699" s="103"/>
      <c r="AG1699" s="103"/>
      <c r="AH1699" s="103"/>
      <c r="AI1699" s="103"/>
      <c r="AJ1699" s="103"/>
      <c r="AK1699" s="103"/>
      <c r="AL1699" s="103"/>
      <c r="AM1699" s="103"/>
      <c r="AN1699" s="103"/>
      <c r="AO1699" s="103"/>
      <c r="AP1699" s="103"/>
      <c r="AQ1699" s="103"/>
      <c r="AR1699" s="103"/>
      <c r="AS1699" s="103"/>
      <c r="AT1699" s="103">
        <v>165</v>
      </c>
      <c r="AU1699" s="103"/>
      <c r="AV1699" s="103"/>
      <c r="AW1699" s="104" t="str">
        <f>HYPERLINK("http://www.openstreetmap.org/?mlat=36.9789&amp;mlon=42.3046&amp;zoom=12#map=12/36.9789/42.3046","Maplink1")</f>
        <v>Maplink1</v>
      </c>
      <c r="AX1699" s="104" t="str">
        <f>HYPERLINK("https://www.google.iq/maps/search/+36.9789,42.3046/@36.9789,42.3046,14z?hl=en","Maplink2")</f>
        <v>Maplink2</v>
      </c>
      <c r="AY1699" s="104" t="str">
        <f>HYPERLINK("http://www.bing.com/maps/?lvl=14&amp;sty=h&amp;cp=36.9789~42.3046&amp;sp=point.36.9789_42.3046","Maplink3")</f>
        <v>Maplink3</v>
      </c>
    </row>
    <row r="1700" spans="1:51" x14ac:dyDescent="0.2">
      <c r="A1700" s="102">
        <v>18262</v>
      </c>
      <c r="B1700" s="103" t="s">
        <v>35</v>
      </c>
      <c r="C1700" s="103" t="s">
        <v>104</v>
      </c>
      <c r="D1700" s="103" t="s">
        <v>3359</v>
      </c>
      <c r="E1700" s="103" t="s">
        <v>3360</v>
      </c>
      <c r="F1700" s="103">
        <v>36.7414438534</v>
      </c>
      <c r="G1700" s="103">
        <v>42.121773442600002</v>
      </c>
      <c r="H1700" s="102">
        <v>354</v>
      </c>
      <c r="I1700" s="102">
        <v>2124</v>
      </c>
      <c r="J1700" s="103"/>
      <c r="K1700" s="103"/>
      <c r="L1700" s="103"/>
      <c r="M1700" s="103">
        <v>354</v>
      </c>
      <c r="N1700" s="103"/>
      <c r="O1700" s="103"/>
      <c r="P1700" s="103"/>
      <c r="Q1700" s="103"/>
      <c r="R1700" s="103"/>
      <c r="S1700" s="103"/>
      <c r="T1700" s="103"/>
      <c r="U1700" s="103"/>
      <c r="V1700" s="103"/>
      <c r="W1700" s="103"/>
      <c r="X1700" s="103"/>
      <c r="Y1700" s="103"/>
      <c r="Z1700" s="103"/>
      <c r="AA1700" s="103"/>
      <c r="AB1700" s="103"/>
      <c r="AC1700" s="103"/>
      <c r="AD1700" s="103"/>
      <c r="AE1700" s="103"/>
      <c r="AF1700" s="103"/>
      <c r="AG1700" s="103">
        <v>354</v>
      </c>
      <c r="AH1700" s="103"/>
      <c r="AI1700" s="103"/>
      <c r="AJ1700" s="103"/>
      <c r="AK1700" s="103"/>
      <c r="AL1700" s="103"/>
      <c r="AM1700" s="103"/>
      <c r="AN1700" s="103"/>
      <c r="AO1700" s="103">
        <v>354</v>
      </c>
      <c r="AP1700" s="103"/>
      <c r="AQ1700" s="103"/>
      <c r="AR1700" s="103"/>
      <c r="AS1700" s="103"/>
      <c r="AT1700" s="103"/>
      <c r="AU1700" s="103"/>
      <c r="AV1700" s="103"/>
      <c r="AW1700" s="104" t="str">
        <f>HYPERLINK("http://www.openstreetmap.org/?mlat=36.7414&amp;mlon=42.1218&amp;zoom=12#map=12/36.7414/42.1218","Maplink1")</f>
        <v>Maplink1</v>
      </c>
      <c r="AX1700" s="104" t="str">
        <f>HYPERLINK("https://www.google.iq/maps/search/+36.7414,42.1218/@36.7414,42.1218,14z?hl=en","Maplink2")</f>
        <v>Maplink2</v>
      </c>
      <c r="AY1700" s="104" t="str">
        <f>HYPERLINK("http://www.bing.com/maps/?lvl=14&amp;sty=h&amp;cp=36.7414~42.1218&amp;sp=point.36.7414_42.1218","Maplink3")</f>
        <v>Maplink3</v>
      </c>
    </row>
    <row r="1701" spans="1:51" x14ac:dyDescent="0.2">
      <c r="A1701" s="102">
        <v>33212</v>
      </c>
      <c r="B1701" s="103" t="s">
        <v>35</v>
      </c>
      <c r="C1701" s="103" t="s">
        <v>104</v>
      </c>
      <c r="D1701" s="103" t="s">
        <v>3361</v>
      </c>
      <c r="E1701" s="103" t="s">
        <v>3362</v>
      </c>
      <c r="F1701" s="103">
        <v>36.7515</v>
      </c>
      <c r="G1701" s="103">
        <v>42.590570909</v>
      </c>
      <c r="H1701" s="102">
        <v>13</v>
      </c>
      <c r="I1701" s="102">
        <v>78</v>
      </c>
      <c r="J1701" s="103"/>
      <c r="K1701" s="103"/>
      <c r="L1701" s="103"/>
      <c r="M1701" s="103">
        <v>13</v>
      </c>
      <c r="N1701" s="103"/>
      <c r="O1701" s="103"/>
      <c r="P1701" s="103"/>
      <c r="Q1701" s="103"/>
      <c r="R1701" s="103"/>
      <c r="S1701" s="103"/>
      <c r="T1701" s="103"/>
      <c r="U1701" s="103"/>
      <c r="V1701" s="103"/>
      <c r="W1701" s="103"/>
      <c r="X1701" s="103"/>
      <c r="Y1701" s="103"/>
      <c r="Z1701" s="103"/>
      <c r="AA1701" s="103"/>
      <c r="AB1701" s="103"/>
      <c r="AC1701" s="103"/>
      <c r="AD1701" s="103"/>
      <c r="AE1701" s="103"/>
      <c r="AF1701" s="103"/>
      <c r="AG1701" s="103">
        <v>13</v>
      </c>
      <c r="AH1701" s="103"/>
      <c r="AI1701" s="103"/>
      <c r="AJ1701" s="103"/>
      <c r="AK1701" s="103"/>
      <c r="AL1701" s="103"/>
      <c r="AM1701" s="103"/>
      <c r="AN1701" s="103"/>
      <c r="AO1701" s="103">
        <v>13</v>
      </c>
      <c r="AP1701" s="103"/>
      <c r="AQ1701" s="103"/>
      <c r="AR1701" s="103"/>
      <c r="AS1701" s="103"/>
      <c r="AT1701" s="103"/>
      <c r="AU1701" s="103"/>
      <c r="AV1701" s="103"/>
      <c r="AW1701" s="104" t="str">
        <f>HYPERLINK("http://www.openstreetmap.org/?mlat=36.7515&amp;mlon=42.5906&amp;zoom=12#map=12/36.7515/42.5906","Maplink1")</f>
        <v>Maplink1</v>
      </c>
      <c r="AX1701" s="104" t="str">
        <f>HYPERLINK("https://www.google.iq/maps/search/+36.7515,42.5906/@36.7515,42.5906,14z?hl=en","Maplink2")</f>
        <v>Maplink2</v>
      </c>
      <c r="AY1701" s="104" t="str">
        <f>HYPERLINK("http://www.bing.com/maps/?lvl=14&amp;sty=h&amp;cp=36.7515~42.5906&amp;sp=point.36.7515_42.5906","Maplink3")</f>
        <v>Maplink3</v>
      </c>
    </row>
    <row r="1702" spans="1:51" x14ac:dyDescent="0.2">
      <c r="A1702" s="102">
        <v>25687</v>
      </c>
      <c r="B1702" s="103" t="s">
        <v>35</v>
      </c>
      <c r="C1702" s="103" t="s">
        <v>104</v>
      </c>
      <c r="D1702" s="103" t="s">
        <v>3223</v>
      </c>
      <c r="E1702" s="103" t="s">
        <v>201</v>
      </c>
      <c r="F1702" s="103">
        <v>36.799306332500002</v>
      </c>
      <c r="G1702" s="103">
        <v>42.0937826563</v>
      </c>
      <c r="H1702" s="102">
        <v>168</v>
      </c>
      <c r="I1702" s="102">
        <v>1008</v>
      </c>
      <c r="J1702" s="103"/>
      <c r="K1702" s="103"/>
      <c r="L1702" s="103"/>
      <c r="M1702" s="103">
        <v>168</v>
      </c>
      <c r="N1702" s="103"/>
      <c r="O1702" s="103"/>
      <c r="P1702" s="103"/>
      <c r="Q1702" s="103"/>
      <c r="R1702" s="103"/>
      <c r="S1702" s="103"/>
      <c r="T1702" s="103"/>
      <c r="U1702" s="103"/>
      <c r="V1702" s="103"/>
      <c r="W1702" s="103"/>
      <c r="X1702" s="103"/>
      <c r="Y1702" s="103"/>
      <c r="Z1702" s="103"/>
      <c r="AA1702" s="103"/>
      <c r="AB1702" s="103"/>
      <c r="AC1702" s="103"/>
      <c r="AD1702" s="103"/>
      <c r="AE1702" s="103"/>
      <c r="AF1702" s="103"/>
      <c r="AG1702" s="103">
        <v>168</v>
      </c>
      <c r="AH1702" s="103"/>
      <c r="AI1702" s="103"/>
      <c r="AJ1702" s="103"/>
      <c r="AK1702" s="103"/>
      <c r="AL1702" s="103"/>
      <c r="AM1702" s="103"/>
      <c r="AN1702" s="103"/>
      <c r="AO1702" s="103">
        <v>168</v>
      </c>
      <c r="AP1702" s="103"/>
      <c r="AQ1702" s="103"/>
      <c r="AR1702" s="103"/>
      <c r="AS1702" s="103"/>
      <c r="AT1702" s="103"/>
      <c r="AU1702" s="103"/>
      <c r="AV1702" s="103"/>
      <c r="AW1702" s="104" t="str">
        <f>HYPERLINK("http://www.openstreetmap.org/?mlat=36.7993&amp;mlon=42.0938&amp;zoom=12#map=12/36.7993/42.0938","Maplink1")</f>
        <v>Maplink1</v>
      </c>
      <c r="AX1702" s="104" t="str">
        <f>HYPERLINK("https://www.google.iq/maps/search/+36.7993,42.0938/@36.7993,42.0938,14z?hl=en","Maplink2")</f>
        <v>Maplink2</v>
      </c>
      <c r="AY1702" s="104" t="str">
        <f>HYPERLINK("http://www.bing.com/maps/?lvl=14&amp;sty=h&amp;cp=36.7993~42.0938&amp;sp=point.36.7993_42.0938","Maplink3")</f>
        <v>Maplink3</v>
      </c>
    </row>
    <row r="1703" spans="1:51" x14ac:dyDescent="0.2">
      <c r="A1703" s="102">
        <v>27395</v>
      </c>
      <c r="B1703" s="103" t="s">
        <v>35</v>
      </c>
      <c r="C1703" s="103" t="s">
        <v>104</v>
      </c>
      <c r="D1703" s="103" t="s">
        <v>3224</v>
      </c>
      <c r="E1703" s="103" t="s">
        <v>3225</v>
      </c>
      <c r="F1703" s="103">
        <v>36.561288854300003</v>
      </c>
      <c r="G1703" s="103">
        <v>42.553346567299997</v>
      </c>
      <c r="H1703" s="102">
        <v>230</v>
      </c>
      <c r="I1703" s="102">
        <v>1380</v>
      </c>
      <c r="J1703" s="103"/>
      <c r="K1703" s="103"/>
      <c r="L1703" s="103"/>
      <c r="M1703" s="103">
        <v>230</v>
      </c>
      <c r="N1703" s="103"/>
      <c r="O1703" s="103"/>
      <c r="P1703" s="103"/>
      <c r="Q1703" s="103"/>
      <c r="R1703" s="103"/>
      <c r="S1703" s="103"/>
      <c r="T1703" s="103"/>
      <c r="U1703" s="103"/>
      <c r="V1703" s="103"/>
      <c r="W1703" s="103"/>
      <c r="X1703" s="103"/>
      <c r="Y1703" s="103">
        <v>175</v>
      </c>
      <c r="Z1703" s="103"/>
      <c r="AA1703" s="103"/>
      <c r="AB1703" s="103"/>
      <c r="AC1703" s="103"/>
      <c r="AD1703" s="103"/>
      <c r="AE1703" s="103"/>
      <c r="AF1703" s="103"/>
      <c r="AG1703" s="103">
        <v>55</v>
      </c>
      <c r="AH1703" s="103"/>
      <c r="AI1703" s="103"/>
      <c r="AJ1703" s="103"/>
      <c r="AK1703" s="103"/>
      <c r="AL1703" s="103"/>
      <c r="AM1703" s="103"/>
      <c r="AN1703" s="103"/>
      <c r="AO1703" s="103">
        <v>228</v>
      </c>
      <c r="AP1703" s="103"/>
      <c r="AQ1703" s="103"/>
      <c r="AR1703" s="103"/>
      <c r="AS1703" s="103"/>
      <c r="AT1703" s="103">
        <v>2</v>
      </c>
      <c r="AU1703" s="103"/>
      <c r="AV1703" s="103"/>
      <c r="AW1703" s="104" t="str">
        <f>HYPERLINK("http://www.openstreetmap.org/?mlat=36.5613&amp;mlon=42.5533&amp;zoom=12#map=12/36.5613/42.5533","Maplink1")</f>
        <v>Maplink1</v>
      </c>
      <c r="AX1703" s="104" t="str">
        <f>HYPERLINK("https://www.google.iq/maps/search/+36.5613,42.5533/@36.5613,42.5533,14z?hl=en","Maplink2")</f>
        <v>Maplink2</v>
      </c>
      <c r="AY1703" s="104" t="str">
        <f>HYPERLINK("http://www.bing.com/maps/?lvl=14&amp;sty=h&amp;cp=36.5613~42.5533&amp;sp=point.36.5613_42.5533","Maplink3")</f>
        <v>Maplink3</v>
      </c>
    </row>
    <row r="1704" spans="1:51" x14ac:dyDescent="0.2">
      <c r="A1704" s="102">
        <v>23317</v>
      </c>
      <c r="B1704" s="103" t="s">
        <v>35</v>
      </c>
      <c r="C1704" s="103" t="s">
        <v>104</v>
      </c>
      <c r="D1704" s="103" t="s">
        <v>3226</v>
      </c>
      <c r="E1704" s="103" t="s">
        <v>3227</v>
      </c>
      <c r="F1704" s="103">
        <v>36.5124</v>
      </c>
      <c r="G1704" s="103">
        <v>42.156094938300001</v>
      </c>
      <c r="H1704" s="102">
        <v>40</v>
      </c>
      <c r="I1704" s="102">
        <v>240</v>
      </c>
      <c r="J1704" s="103"/>
      <c r="K1704" s="103"/>
      <c r="L1704" s="103"/>
      <c r="M1704" s="103">
        <v>27</v>
      </c>
      <c r="N1704" s="103">
        <v>13</v>
      </c>
      <c r="O1704" s="103"/>
      <c r="P1704" s="103"/>
      <c r="Q1704" s="103"/>
      <c r="R1704" s="103"/>
      <c r="S1704" s="103"/>
      <c r="T1704" s="103"/>
      <c r="U1704" s="103"/>
      <c r="V1704" s="103"/>
      <c r="W1704" s="103"/>
      <c r="X1704" s="103"/>
      <c r="Y1704" s="103"/>
      <c r="Z1704" s="103"/>
      <c r="AA1704" s="103"/>
      <c r="AB1704" s="103"/>
      <c r="AC1704" s="103"/>
      <c r="AD1704" s="103"/>
      <c r="AE1704" s="103"/>
      <c r="AF1704" s="103"/>
      <c r="AG1704" s="103">
        <v>40</v>
      </c>
      <c r="AH1704" s="103"/>
      <c r="AI1704" s="103"/>
      <c r="AJ1704" s="103"/>
      <c r="AK1704" s="103"/>
      <c r="AL1704" s="103"/>
      <c r="AM1704" s="103"/>
      <c r="AN1704" s="103"/>
      <c r="AO1704" s="103">
        <v>40</v>
      </c>
      <c r="AP1704" s="103"/>
      <c r="AQ1704" s="103"/>
      <c r="AR1704" s="103"/>
      <c r="AS1704" s="103"/>
      <c r="AT1704" s="103"/>
      <c r="AU1704" s="103"/>
      <c r="AV1704" s="103"/>
      <c r="AW1704" s="104" t="str">
        <f>HYPERLINK("http://www.openstreetmap.org/?mlat=36.5124&amp;mlon=42.1561&amp;zoom=12#map=12/36.5124/42.1561","Maplink1")</f>
        <v>Maplink1</v>
      </c>
      <c r="AX1704" s="104" t="str">
        <f>HYPERLINK("https://www.google.iq/maps/search/+36.5124,42.1561/@36.5124,42.1561,14z?hl=en","Maplink2")</f>
        <v>Maplink2</v>
      </c>
      <c r="AY1704" s="104" t="str">
        <f>HYPERLINK("http://www.bing.com/maps/?lvl=14&amp;sty=h&amp;cp=36.5124~42.1561&amp;sp=point.36.5124_42.1561","Maplink3")</f>
        <v>Maplink3</v>
      </c>
    </row>
    <row r="1705" spans="1:51" x14ac:dyDescent="0.2">
      <c r="A1705" s="102">
        <v>33280</v>
      </c>
      <c r="B1705" s="103" t="s">
        <v>35</v>
      </c>
      <c r="C1705" s="103" t="s">
        <v>104</v>
      </c>
      <c r="D1705" s="103" t="s">
        <v>3228</v>
      </c>
      <c r="E1705" s="103" t="s">
        <v>3229</v>
      </c>
      <c r="F1705" s="103">
        <v>36.381740000000001</v>
      </c>
      <c r="G1705" s="103">
        <v>42.4375614</v>
      </c>
      <c r="H1705" s="102">
        <v>1170</v>
      </c>
      <c r="I1705" s="102">
        <v>7020</v>
      </c>
      <c r="J1705" s="103"/>
      <c r="K1705" s="103"/>
      <c r="L1705" s="103">
        <v>18</v>
      </c>
      <c r="M1705" s="103">
        <v>1152</v>
      </c>
      <c r="N1705" s="103"/>
      <c r="O1705" s="103"/>
      <c r="P1705" s="103"/>
      <c r="Q1705" s="103"/>
      <c r="R1705" s="103"/>
      <c r="S1705" s="103"/>
      <c r="T1705" s="103"/>
      <c r="U1705" s="103"/>
      <c r="V1705" s="103">
        <v>110</v>
      </c>
      <c r="W1705" s="103">
        <v>140</v>
      </c>
      <c r="X1705" s="103">
        <v>40</v>
      </c>
      <c r="Y1705" s="103">
        <v>29</v>
      </c>
      <c r="Z1705" s="103"/>
      <c r="AA1705" s="103">
        <v>25</v>
      </c>
      <c r="AB1705" s="103">
        <v>226</v>
      </c>
      <c r="AC1705" s="103">
        <v>94</v>
      </c>
      <c r="AD1705" s="103"/>
      <c r="AE1705" s="103">
        <v>29</v>
      </c>
      <c r="AF1705" s="103">
        <v>279</v>
      </c>
      <c r="AG1705" s="103">
        <v>59</v>
      </c>
      <c r="AH1705" s="103">
        <v>51</v>
      </c>
      <c r="AI1705" s="103"/>
      <c r="AJ1705" s="103">
        <v>19</v>
      </c>
      <c r="AK1705" s="103">
        <v>20</v>
      </c>
      <c r="AL1705" s="103">
        <v>49</v>
      </c>
      <c r="AM1705" s="103"/>
      <c r="AN1705" s="103">
        <v>1170</v>
      </c>
      <c r="AO1705" s="103"/>
      <c r="AP1705" s="103"/>
      <c r="AQ1705" s="103"/>
      <c r="AR1705" s="103"/>
      <c r="AS1705" s="103"/>
      <c r="AT1705" s="103"/>
      <c r="AU1705" s="103"/>
      <c r="AV1705" s="103"/>
      <c r="AW1705" s="104" t="str">
        <f>HYPERLINK("http://www.openstreetmap.org/?mlat=36.3817&amp;mlon=42.4376&amp;zoom=12#map=12/36.3817/42.4376","Maplink1")</f>
        <v>Maplink1</v>
      </c>
      <c r="AX1705" s="104" t="str">
        <f>HYPERLINK("https://www.google.iq/maps/search/+36.3817,42.4376/@36.3817,42.4376,14z?hl=en","Maplink2")</f>
        <v>Maplink2</v>
      </c>
      <c r="AY1705" s="104" t="str">
        <f>HYPERLINK("http://www.bing.com/maps/?lvl=14&amp;sty=h&amp;cp=36.3817~42.4376&amp;sp=point.36.3817_42.4376","Maplink3")</f>
        <v>Maplink3</v>
      </c>
    </row>
    <row r="1706" spans="1:51" x14ac:dyDescent="0.2">
      <c r="A1706" s="102">
        <v>33416</v>
      </c>
      <c r="B1706" s="103" t="s">
        <v>35</v>
      </c>
      <c r="C1706" s="103" t="s">
        <v>104</v>
      </c>
      <c r="D1706" s="103" t="s">
        <v>3230</v>
      </c>
      <c r="E1706" s="103" t="s">
        <v>3231</v>
      </c>
      <c r="F1706" s="103">
        <v>36.804400000000001</v>
      </c>
      <c r="G1706" s="103">
        <v>42.487388395099998</v>
      </c>
      <c r="H1706" s="102">
        <v>30</v>
      </c>
      <c r="I1706" s="102">
        <v>180</v>
      </c>
      <c r="J1706" s="103"/>
      <c r="K1706" s="103"/>
      <c r="L1706" s="103"/>
      <c r="M1706" s="103">
        <v>30</v>
      </c>
      <c r="N1706" s="103"/>
      <c r="O1706" s="103"/>
      <c r="P1706" s="103"/>
      <c r="Q1706" s="103"/>
      <c r="R1706" s="103"/>
      <c r="S1706" s="103"/>
      <c r="T1706" s="103"/>
      <c r="U1706" s="103"/>
      <c r="V1706" s="103"/>
      <c r="W1706" s="103"/>
      <c r="X1706" s="103"/>
      <c r="Y1706" s="103">
        <v>30</v>
      </c>
      <c r="Z1706" s="103"/>
      <c r="AA1706" s="103"/>
      <c r="AB1706" s="103"/>
      <c r="AC1706" s="103"/>
      <c r="AD1706" s="103"/>
      <c r="AE1706" s="103"/>
      <c r="AF1706" s="103"/>
      <c r="AG1706" s="103"/>
      <c r="AH1706" s="103"/>
      <c r="AI1706" s="103"/>
      <c r="AJ1706" s="103"/>
      <c r="AK1706" s="103"/>
      <c r="AL1706" s="103"/>
      <c r="AM1706" s="103"/>
      <c r="AN1706" s="103"/>
      <c r="AO1706" s="103"/>
      <c r="AP1706" s="103"/>
      <c r="AQ1706" s="103"/>
      <c r="AR1706" s="103"/>
      <c r="AS1706" s="103"/>
      <c r="AT1706" s="103">
        <v>30</v>
      </c>
      <c r="AU1706" s="103"/>
      <c r="AV1706" s="103"/>
      <c r="AW1706" s="104" t="str">
        <f>HYPERLINK("http://www.openstreetmap.org/?mlat=36.8044&amp;mlon=42.4874&amp;zoom=12#map=12/36.8044/42.4874","Maplink1")</f>
        <v>Maplink1</v>
      </c>
      <c r="AX1706" s="104" t="str">
        <f>HYPERLINK("https://www.google.iq/maps/search/+36.8044,42.4874/@36.8044,42.4874,14z?hl=en","Maplink2")</f>
        <v>Maplink2</v>
      </c>
      <c r="AY1706" s="104" t="str">
        <f>HYPERLINK("http://www.bing.com/maps/?lvl=14&amp;sty=h&amp;cp=36.8044~42.4874&amp;sp=point.36.8044_42.4874","Maplink3")</f>
        <v>Maplink3</v>
      </c>
    </row>
    <row r="1707" spans="1:51" x14ac:dyDescent="0.2">
      <c r="A1707" s="102">
        <v>28452</v>
      </c>
      <c r="B1707" s="103" t="s">
        <v>35</v>
      </c>
      <c r="C1707" s="103" t="s">
        <v>104</v>
      </c>
      <c r="D1707" s="103" t="s">
        <v>3334</v>
      </c>
      <c r="E1707" s="103" t="s">
        <v>3335</v>
      </c>
      <c r="F1707" s="103">
        <v>36.742294729999998</v>
      </c>
      <c r="G1707" s="103">
        <v>42.084063974400003</v>
      </c>
      <c r="H1707" s="102">
        <v>52</v>
      </c>
      <c r="I1707" s="102">
        <v>312</v>
      </c>
      <c r="J1707" s="103"/>
      <c r="K1707" s="103"/>
      <c r="L1707" s="103"/>
      <c r="M1707" s="103">
        <v>52</v>
      </c>
      <c r="N1707" s="103"/>
      <c r="O1707" s="103"/>
      <c r="P1707" s="103"/>
      <c r="Q1707" s="103"/>
      <c r="R1707" s="103"/>
      <c r="S1707" s="103"/>
      <c r="T1707" s="103"/>
      <c r="U1707" s="103"/>
      <c r="V1707" s="103"/>
      <c r="W1707" s="103"/>
      <c r="X1707" s="103"/>
      <c r="Y1707" s="103"/>
      <c r="Z1707" s="103"/>
      <c r="AA1707" s="103"/>
      <c r="AB1707" s="103"/>
      <c r="AC1707" s="103"/>
      <c r="AD1707" s="103"/>
      <c r="AE1707" s="103"/>
      <c r="AF1707" s="103"/>
      <c r="AG1707" s="103">
        <v>52</v>
      </c>
      <c r="AH1707" s="103"/>
      <c r="AI1707" s="103"/>
      <c r="AJ1707" s="103"/>
      <c r="AK1707" s="103"/>
      <c r="AL1707" s="103"/>
      <c r="AM1707" s="103"/>
      <c r="AN1707" s="103"/>
      <c r="AO1707" s="103"/>
      <c r="AP1707" s="103">
        <v>52</v>
      </c>
      <c r="AQ1707" s="103"/>
      <c r="AR1707" s="103"/>
      <c r="AS1707" s="103"/>
      <c r="AT1707" s="103"/>
      <c r="AU1707" s="103"/>
      <c r="AV1707" s="103"/>
      <c r="AW1707" s="104" t="str">
        <f>HYPERLINK("http://www.openstreetmap.org/?mlat=36.7423&amp;mlon=42.0841&amp;zoom=12#map=12/36.7423/42.0841","Maplink1")</f>
        <v>Maplink1</v>
      </c>
      <c r="AX1707" s="104" t="str">
        <f>HYPERLINK("https://www.google.iq/maps/search/+36.7423,42.0841/@36.7423,42.0841,14z?hl=en","Maplink2")</f>
        <v>Maplink2</v>
      </c>
      <c r="AY1707" s="104" t="str">
        <f>HYPERLINK("http://www.bing.com/maps/?lvl=14&amp;sty=h&amp;cp=36.7423~42.0841&amp;sp=point.36.7423_42.0841","Maplink3")</f>
        <v>Maplink3</v>
      </c>
    </row>
    <row r="1708" spans="1:51" x14ac:dyDescent="0.2">
      <c r="A1708" s="102">
        <v>17932</v>
      </c>
      <c r="B1708" s="103" t="s">
        <v>35</v>
      </c>
      <c r="C1708" s="103" t="s">
        <v>104</v>
      </c>
      <c r="D1708" s="103" t="s">
        <v>3336</v>
      </c>
      <c r="E1708" s="103" t="s">
        <v>3337</v>
      </c>
      <c r="F1708" s="103">
        <v>36.544481749299997</v>
      </c>
      <c r="G1708" s="103">
        <v>42.745716393899997</v>
      </c>
      <c r="H1708" s="102">
        <v>223</v>
      </c>
      <c r="I1708" s="102">
        <v>1338</v>
      </c>
      <c r="J1708" s="103"/>
      <c r="K1708" s="103"/>
      <c r="L1708" s="103"/>
      <c r="M1708" s="103">
        <v>223</v>
      </c>
      <c r="N1708" s="103"/>
      <c r="O1708" s="103"/>
      <c r="P1708" s="103"/>
      <c r="Q1708" s="103"/>
      <c r="R1708" s="103"/>
      <c r="S1708" s="103"/>
      <c r="T1708" s="103"/>
      <c r="U1708" s="103"/>
      <c r="V1708" s="103"/>
      <c r="W1708" s="103"/>
      <c r="X1708" s="103"/>
      <c r="Y1708" s="103"/>
      <c r="Z1708" s="103"/>
      <c r="AA1708" s="103"/>
      <c r="AB1708" s="103"/>
      <c r="AC1708" s="103"/>
      <c r="AD1708" s="103"/>
      <c r="AE1708" s="103"/>
      <c r="AF1708" s="103"/>
      <c r="AG1708" s="103">
        <v>223</v>
      </c>
      <c r="AH1708" s="103"/>
      <c r="AI1708" s="103"/>
      <c r="AJ1708" s="103"/>
      <c r="AK1708" s="103"/>
      <c r="AL1708" s="103"/>
      <c r="AM1708" s="103"/>
      <c r="AN1708" s="103"/>
      <c r="AO1708" s="103">
        <v>198</v>
      </c>
      <c r="AP1708" s="103"/>
      <c r="AQ1708" s="103">
        <v>25</v>
      </c>
      <c r="AR1708" s="103"/>
      <c r="AS1708" s="103"/>
      <c r="AT1708" s="103"/>
      <c r="AU1708" s="103"/>
      <c r="AV1708" s="103"/>
      <c r="AW1708" s="104" t="str">
        <f>HYPERLINK("http://www.openstreetmap.org/?mlat=36.5445&amp;mlon=42.7457&amp;zoom=12#map=12/36.5445/42.7457","Maplink1")</f>
        <v>Maplink1</v>
      </c>
      <c r="AX1708" s="104" t="str">
        <f>HYPERLINK("https://www.google.iq/maps/search/+36.5445,42.7457/@36.5445,42.7457,14z?hl=en","Maplink2")</f>
        <v>Maplink2</v>
      </c>
      <c r="AY1708" s="104" t="str">
        <f>HYPERLINK("http://www.bing.com/maps/?lvl=14&amp;sty=h&amp;cp=36.5445~42.7457&amp;sp=point.36.5445_42.7457","Maplink3")</f>
        <v>Maplink3</v>
      </c>
    </row>
    <row r="1709" spans="1:51" x14ac:dyDescent="0.2">
      <c r="A1709" s="102">
        <v>33281</v>
      </c>
      <c r="B1709" s="103" t="s">
        <v>35</v>
      </c>
      <c r="C1709" s="103" t="s">
        <v>104</v>
      </c>
      <c r="D1709" s="103" t="s">
        <v>3338</v>
      </c>
      <c r="E1709" s="103" t="s">
        <v>3339</v>
      </c>
      <c r="F1709" s="103">
        <v>36.36544</v>
      </c>
      <c r="G1709" s="103">
        <v>42.403472100000002</v>
      </c>
      <c r="H1709" s="102">
        <v>1715</v>
      </c>
      <c r="I1709" s="102">
        <v>10290</v>
      </c>
      <c r="J1709" s="103">
        <v>5</v>
      </c>
      <c r="K1709" s="103"/>
      <c r="L1709" s="103">
        <v>18</v>
      </c>
      <c r="M1709" s="103">
        <v>1692</v>
      </c>
      <c r="N1709" s="103"/>
      <c r="O1709" s="103"/>
      <c r="P1709" s="103"/>
      <c r="Q1709" s="103"/>
      <c r="R1709" s="103"/>
      <c r="S1709" s="103"/>
      <c r="T1709" s="103"/>
      <c r="U1709" s="103"/>
      <c r="V1709" s="103">
        <v>173</v>
      </c>
      <c r="W1709" s="103">
        <v>261</v>
      </c>
      <c r="X1709" s="103">
        <v>70</v>
      </c>
      <c r="Y1709" s="103"/>
      <c r="Z1709" s="103"/>
      <c r="AA1709" s="103"/>
      <c r="AB1709" s="103">
        <v>388</v>
      </c>
      <c r="AC1709" s="103">
        <v>5</v>
      </c>
      <c r="AD1709" s="103"/>
      <c r="AE1709" s="103">
        <v>10</v>
      </c>
      <c r="AF1709" s="103">
        <v>722</v>
      </c>
      <c r="AG1709" s="103"/>
      <c r="AH1709" s="103">
        <v>42</v>
      </c>
      <c r="AI1709" s="103"/>
      <c r="AJ1709" s="103"/>
      <c r="AK1709" s="103"/>
      <c r="AL1709" s="103">
        <v>44</v>
      </c>
      <c r="AM1709" s="103"/>
      <c r="AN1709" s="103">
        <v>1715</v>
      </c>
      <c r="AO1709" s="103"/>
      <c r="AP1709" s="103"/>
      <c r="AQ1709" s="103"/>
      <c r="AR1709" s="103"/>
      <c r="AS1709" s="103"/>
      <c r="AT1709" s="103"/>
      <c r="AU1709" s="103"/>
      <c r="AV1709" s="103"/>
      <c r="AW1709" s="104" t="str">
        <f>HYPERLINK("http://www.openstreetmap.org/?mlat=36.3654&amp;mlon=42.4035&amp;zoom=12#map=12/36.3654/42.4035","Maplink1")</f>
        <v>Maplink1</v>
      </c>
      <c r="AX1709" s="104" t="str">
        <f>HYPERLINK("https://www.google.iq/maps/search/+36.3654,42.4035/@36.3654,42.4035,14z?hl=en","Maplink2")</f>
        <v>Maplink2</v>
      </c>
      <c r="AY1709" s="104" t="str">
        <f>HYPERLINK("http://www.bing.com/maps/?lvl=14&amp;sty=h&amp;cp=36.3654~42.4035&amp;sp=point.36.3654_42.4035","Maplink3")</f>
        <v>Maplink3</v>
      </c>
    </row>
    <row r="1710" spans="1:51" x14ac:dyDescent="0.2">
      <c r="A1710" s="102">
        <v>33909</v>
      </c>
      <c r="B1710" s="103" t="s">
        <v>35</v>
      </c>
      <c r="C1710" s="103" t="s">
        <v>104</v>
      </c>
      <c r="D1710" s="103" t="s">
        <v>3340</v>
      </c>
      <c r="E1710" s="103" t="s">
        <v>3341</v>
      </c>
      <c r="F1710" s="103">
        <v>36.433259999999997</v>
      </c>
      <c r="G1710" s="103">
        <v>42.628242</v>
      </c>
      <c r="H1710" s="102">
        <v>215</v>
      </c>
      <c r="I1710" s="102">
        <v>1290</v>
      </c>
      <c r="J1710" s="103">
        <v>15</v>
      </c>
      <c r="K1710" s="103"/>
      <c r="L1710" s="103"/>
      <c r="M1710" s="103">
        <v>200</v>
      </c>
      <c r="N1710" s="103"/>
      <c r="O1710" s="103"/>
      <c r="P1710" s="103"/>
      <c r="Q1710" s="103"/>
      <c r="R1710" s="103"/>
      <c r="S1710" s="103"/>
      <c r="T1710" s="103"/>
      <c r="U1710" s="103"/>
      <c r="V1710" s="103"/>
      <c r="W1710" s="103"/>
      <c r="X1710" s="103"/>
      <c r="Y1710" s="103"/>
      <c r="Z1710" s="103"/>
      <c r="AA1710" s="103"/>
      <c r="AB1710" s="103"/>
      <c r="AC1710" s="103"/>
      <c r="AD1710" s="103"/>
      <c r="AE1710" s="103"/>
      <c r="AF1710" s="103"/>
      <c r="AG1710" s="103">
        <v>215</v>
      </c>
      <c r="AH1710" s="103"/>
      <c r="AI1710" s="103"/>
      <c r="AJ1710" s="103"/>
      <c r="AK1710" s="103"/>
      <c r="AL1710" s="103"/>
      <c r="AM1710" s="103"/>
      <c r="AN1710" s="103"/>
      <c r="AO1710" s="103"/>
      <c r="AP1710" s="103"/>
      <c r="AQ1710" s="103"/>
      <c r="AR1710" s="103"/>
      <c r="AS1710" s="103"/>
      <c r="AT1710" s="103">
        <v>215</v>
      </c>
      <c r="AU1710" s="103"/>
      <c r="AV1710" s="103"/>
      <c r="AW1710" s="104" t="str">
        <f>HYPERLINK("http://www.openstreetmap.org/?mlat=36.4333&amp;mlon=42.6282&amp;zoom=12#map=12/36.4333/42.6282","Maplink1")</f>
        <v>Maplink1</v>
      </c>
      <c r="AX1710" s="104" t="str">
        <f>HYPERLINK("https://www.google.iq/maps/search/+36.4333,42.6282/@36.4333,42.6282,14z?hl=en","Maplink2")</f>
        <v>Maplink2</v>
      </c>
      <c r="AY1710" s="104" t="str">
        <f>HYPERLINK("http://www.bing.com/maps/?lvl=14&amp;sty=h&amp;cp=36.4333~42.6282&amp;sp=point.36.4333_42.6282","Maplink3")</f>
        <v>Maplink3</v>
      </c>
    </row>
    <row r="1711" spans="1:51" x14ac:dyDescent="0.2">
      <c r="A1711" s="102">
        <v>18303</v>
      </c>
      <c r="B1711" s="103" t="s">
        <v>35</v>
      </c>
      <c r="C1711" s="103" t="s">
        <v>104</v>
      </c>
      <c r="D1711" s="103" t="s">
        <v>259</v>
      </c>
      <c r="E1711" s="103" t="s">
        <v>149</v>
      </c>
      <c r="F1711" s="103">
        <v>36.388599999999997</v>
      </c>
      <c r="G1711" s="103">
        <v>42.460799299999998</v>
      </c>
      <c r="H1711" s="102">
        <v>645</v>
      </c>
      <c r="I1711" s="102">
        <v>3870</v>
      </c>
      <c r="J1711" s="103"/>
      <c r="K1711" s="103"/>
      <c r="L1711" s="103"/>
      <c r="M1711" s="103">
        <v>645</v>
      </c>
      <c r="N1711" s="103"/>
      <c r="O1711" s="103"/>
      <c r="P1711" s="103"/>
      <c r="Q1711" s="103"/>
      <c r="R1711" s="103"/>
      <c r="S1711" s="103"/>
      <c r="T1711" s="103"/>
      <c r="U1711" s="103"/>
      <c r="V1711" s="103">
        <v>10</v>
      </c>
      <c r="W1711" s="103">
        <v>10</v>
      </c>
      <c r="X1711" s="103">
        <v>10</v>
      </c>
      <c r="Y1711" s="103">
        <v>25</v>
      </c>
      <c r="Z1711" s="103"/>
      <c r="AA1711" s="103">
        <v>31</v>
      </c>
      <c r="AB1711" s="103">
        <v>62</v>
      </c>
      <c r="AC1711" s="103">
        <v>71</v>
      </c>
      <c r="AD1711" s="103"/>
      <c r="AE1711" s="103">
        <v>10</v>
      </c>
      <c r="AF1711" s="103">
        <v>68</v>
      </c>
      <c r="AG1711" s="103">
        <v>246</v>
      </c>
      <c r="AH1711" s="103"/>
      <c r="AI1711" s="103"/>
      <c r="AJ1711" s="103">
        <v>102</v>
      </c>
      <c r="AK1711" s="103"/>
      <c r="AL1711" s="103"/>
      <c r="AM1711" s="103"/>
      <c r="AN1711" s="103"/>
      <c r="AO1711" s="103">
        <v>645</v>
      </c>
      <c r="AP1711" s="103"/>
      <c r="AQ1711" s="103"/>
      <c r="AR1711" s="103"/>
      <c r="AS1711" s="103"/>
      <c r="AT1711" s="103"/>
      <c r="AU1711" s="103"/>
      <c r="AV1711" s="103"/>
      <c r="AW1711" s="104" t="str">
        <f>HYPERLINK("http://www.openstreetmap.org/?mlat=36.3886&amp;mlon=42.4608&amp;zoom=12#map=12/36.3886/42.4608","Maplink1")</f>
        <v>Maplink1</v>
      </c>
      <c r="AX1711" s="104" t="str">
        <f>HYPERLINK("https://www.google.iq/maps/search/+36.3886,42.4608/@36.3886,42.4608,14z?hl=en","Maplink2")</f>
        <v>Maplink2</v>
      </c>
      <c r="AY1711" s="104" t="str">
        <f>HYPERLINK("http://www.bing.com/maps/?lvl=14&amp;sty=h&amp;cp=36.3886~42.4608&amp;sp=point.36.3886_42.4608","Maplink3")</f>
        <v>Maplink3</v>
      </c>
    </row>
    <row r="1712" spans="1:51" x14ac:dyDescent="0.2">
      <c r="A1712" s="102">
        <v>17663</v>
      </c>
      <c r="B1712" s="103" t="s">
        <v>35</v>
      </c>
      <c r="C1712" s="103" t="s">
        <v>104</v>
      </c>
      <c r="D1712" s="103" t="s">
        <v>3186</v>
      </c>
      <c r="E1712" s="103" t="s">
        <v>3187</v>
      </c>
      <c r="F1712" s="103">
        <v>36.813149189999997</v>
      </c>
      <c r="G1712" s="103">
        <v>42.263397007999998</v>
      </c>
      <c r="H1712" s="102">
        <v>75</v>
      </c>
      <c r="I1712" s="102">
        <v>450</v>
      </c>
      <c r="J1712" s="103"/>
      <c r="K1712" s="103"/>
      <c r="L1712" s="103"/>
      <c r="M1712" s="103">
        <v>75</v>
      </c>
      <c r="N1712" s="103"/>
      <c r="O1712" s="103"/>
      <c r="P1712" s="103"/>
      <c r="Q1712" s="103"/>
      <c r="R1712" s="103"/>
      <c r="S1712" s="103"/>
      <c r="T1712" s="103"/>
      <c r="U1712" s="103"/>
      <c r="V1712" s="103"/>
      <c r="W1712" s="103"/>
      <c r="X1712" s="103"/>
      <c r="Y1712" s="103"/>
      <c r="Z1712" s="103"/>
      <c r="AA1712" s="103"/>
      <c r="AB1712" s="103"/>
      <c r="AC1712" s="103"/>
      <c r="AD1712" s="103"/>
      <c r="AE1712" s="103"/>
      <c r="AF1712" s="103"/>
      <c r="AG1712" s="103">
        <v>75</v>
      </c>
      <c r="AH1712" s="103"/>
      <c r="AI1712" s="103"/>
      <c r="AJ1712" s="103"/>
      <c r="AK1712" s="103"/>
      <c r="AL1712" s="103"/>
      <c r="AM1712" s="103"/>
      <c r="AN1712" s="103"/>
      <c r="AO1712" s="103">
        <v>66</v>
      </c>
      <c r="AP1712" s="103"/>
      <c r="AQ1712" s="103"/>
      <c r="AR1712" s="103"/>
      <c r="AS1712" s="103"/>
      <c r="AT1712" s="103">
        <v>9</v>
      </c>
      <c r="AU1712" s="103"/>
      <c r="AV1712" s="103"/>
      <c r="AW1712" s="104" t="str">
        <f>HYPERLINK("http://www.openstreetmap.org/?mlat=36.8131&amp;mlon=42.2634&amp;zoom=12#map=12/36.8131/42.2634","Maplink1")</f>
        <v>Maplink1</v>
      </c>
      <c r="AX1712" s="104" t="str">
        <f>HYPERLINK("https://www.google.iq/maps/search/+36.8131,42.2634/@36.8131,42.2634,14z?hl=en","Maplink2")</f>
        <v>Maplink2</v>
      </c>
      <c r="AY1712" s="104" t="str">
        <f>HYPERLINK("http://www.bing.com/maps/?lvl=14&amp;sty=h&amp;cp=36.8131~42.2634&amp;sp=point.36.8131_42.2634","Maplink3")</f>
        <v>Maplink3</v>
      </c>
    </row>
    <row r="1713" spans="1:51" x14ac:dyDescent="0.2">
      <c r="A1713" s="102">
        <v>27355</v>
      </c>
      <c r="B1713" s="103" t="s">
        <v>35</v>
      </c>
      <c r="C1713" s="103" t="s">
        <v>104</v>
      </c>
      <c r="D1713" s="103" t="s">
        <v>3188</v>
      </c>
      <c r="E1713" s="103" t="s">
        <v>3189</v>
      </c>
      <c r="F1713" s="103">
        <v>36.81731267</v>
      </c>
      <c r="G1713" s="103">
        <v>42.422818769899997</v>
      </c>
      <c r="H1713" s="102">
        <v>17</v>
      </c>
      <c r="I1713" s="102">
        <v>102</v>
      </c>
      <c r="J1713" s="103"/>
      <c r="K1713" s="103"/>
      <c r="L1713" s="103"/>
      <c r="M1713" s="103">
        <v>17</v>
      </c>
      <c r="N1713" s="103"/>
      <c r="O1713" s="103"/>
      <c r="P1713" s="103"/>
      <c r="Q1713" s="103"/>
      <c r="R1713" s="103"/>
      <c r="S1713" s="103"/>
      <c r="T1713" s="103"/>
      <c r="U1713" s="103"/>
      <c r="V1713" s="103"/>
      <c r="W1713" s="103"/>
      <c r="X1713" s="103"/>
      <c r="Y1713" s="103">
        <v>17</v>
      </c>
      <c r="Z1713" s="103"/>
      <c r="AA1713" s="103"/>
      <c r="AB1713" s="103"/>
      <c r="AC1713" s="103"/>
      <c r="AD1713" s="103"/>
      <c r="AE1713" s="103"/>
      <c r="AF1713" s="103"/>
      <c r="AG1713" s="103"/>
      <c r="AH1713" s="103"/>
      <c r="AI1713" s="103"/>
      <c r="AJ1713" s="103"/>
      <c r="AK1713" s="103"/>
      <c r="AL1713" s="103"/>
      <c r="AM1713" s="103"/>
      <c r="AN1713" s="103"/>
      <c r="AO1713" s="103"/>
      <c r="AP1713" s="103"/>
      <c r="AQ1713" s="103"/>
      <c r="AR1713" s="103"/>
      <c r="AS1713" s="103"/>
      <c r="AT1713" s="103">
        <v>17</v>
      </c>
      <c r="AU1713" s="103"/>
      <c r="AV1713" s="103"/>
      <c r="AW1713" s="104" t="str">
        <f>HYPERLINK("http://www.openstreetmap.org/?mlat=36.8173&amp;mlon=42.4228&amp;zoom=12#map=12/36.8173/42.4228","Maplink1")</f>
        <v>Maplink1</v>
      </c>
      <c r="AX1713" s="104" t="str">
        <f>HYPERLINK("https://www.google.iq/maps/search/+36.8173,42.4228/@36.8173,42.4228,14z?hl=en","Maplink2")</f>
        <v>Maplink2</v>
      </c>
      <c r="AY1713" s="104" t="str">
        <f>HYPERLINK("http://www.bing.com/maps/?lvl=14&amp;sty=h&amp;cp=36.8173~42.4228&amp;sp=point.36.8173_42.4228","Maplink3")</f>
        <v>Maplink3</v>
      </c>
    </row>
    <row r="1714" spans="1:51" x14ac:dyDescent="0.2">
      <c r="A1714" s="102">
        <v>17582</v>
      </c>
      <c r="B1714" s="103" t="s">
        <v>35</v>
      </c>
      <c r="C1714" s="103" t="s">
        <v>104</v>
      </c>
      <c r="D1714" s="103" t="s">
        <v>3190</v>
      </c>
      <c r="E1714" s="103" t="s">
        <v>3191</v>
      </c>
      <c r="F1714" s="103">
        <v>36.533079999999998</v>
      </c>
      <c r="G1714" s="103">
        <v>42.6407423733</v>
      </c>
      <c r="H1714" s="102">
        <v>30</v>
      </c>
      <c r="I1714" s="102">
        <v>180</v>
      </c>
      <c r="J1714" s="103"/>
      <c r="K1714" s="103"/>
      <c r="L1714" s="103"/>
      <c r="M1714" s="103">
        <v>30</v>
      </c>
      <c r="N1714" s="103"/>
      <c r="O1714" s="103"/>
      <c r="P1714" s="103"/>
      <c r="Q1714" s="103"/>
      <c r="R1714" s="103"/>
      <c r="S1714" s="103"/>
      <c r="T1714" s="103"/>
      <c r="U1714" s="103"/>
      <c r="V1714" s="103"/>
      <c r="W1714" s="103"/>
      <c r="X1714" s="103"/>
      <c r="Y1714" s="103"/>
      <c r="Z1714" s="103"/>
      <c r="AA1714" s="103"/>
      <c r="AB1714" s="103"/>
      <c r="AC1714" s="103"/>
      <c r="AD1714" s="103"/>
      <c r="AE1714" s="103"/>
      <c r="AF1714" s="103"/>
      <c r="AG1714" s="103">
        <v>30</v>
      </c>
      <c r="AH1714" s="103"/>
      <c r="AI1714" s="103"/>
      <c r="AJ1714" s="103"/>
      <c r="AK1714" s="103"/>
      <c r="AL1714" s="103"/>
      <c r="AM1714" s="103"/>
      <c r="AN1714" s="103"/>
      <c r="AO1714" s="103">
        <v>30</v>
      </c>
      <c r="AP1714" s="103"/>
      <c r="AQ1714" s="103"/>
      <c r="AR1714" s="103"/>
      <c r="AS1714" s="103"/>
      <c r="AT1714" s="103"/>
      <c r="AU1714" s="103"/>
      <c r="AV1714" s="103"/>
      <c r="AW1714" s="104" t="str">
        <f>HYPERLINK("http://www.openstreetmap.org/?mlat=36.5331&amp;mlon=42.6407&amp;zoom=12#map=12/36.5331/42.6407","Maplink1")</f>
        <v>Maplink1</v>
      </c>
      <c r="AX1714" s="104" t="str">
        <f>HYPERLINK("https://www.google.iq/maps/search/+36.5331,42.6407/@36.5331,42.6407,14z?hl=en","Maplink2")</f>
        <v>Maplink2</v>
      </c>
      <c r="AY1714" s="104" t="str">
        <f>HYPERLINK("http://www.bing.com/maps/?lvl=14&amp;sty=h&amp;cp=36.5331~42.6407&amp;sp=point.36.5331_42.6407","Maplink3")</f>
        <v>Maplink3</v>
      </c>
    </row>
    <row r="1715" spans="1:51" x14ac:dyDescent="0.2">
      <c r="A1715" s="102">
        <v>33343</v>
      </c>
      <c r="B1715" s="103" t="s">
        <v>35</v>
      </c>
      <c r="C1715" s="103" t="s">
        <v>104</v>
      </c>
      <c r="D1715" s="103" t="s">
        <v>3192</v>
      </c>
      <c r="E1715" s="103" t="s">
        <v>3193</v>
      </c>
      <c r="F1715" s="103">
        <v>36.334428000000003</v>
      </c>
      <c r="G1715" s="103">
        <v>42.370342000000001</v>
      </c>
      <c r="H1715" s="102">
        <v>284</v>
      </c>
      <c r="I1715" s="102">
        <v>1704</v>
      </c>
      <c r="J1715" s="103"/>
      <c r="K1715" s="103"/>
      <c r="L1715" s="103"/>
      <c r="M1715" s="103">
        <v>276</v>
      </c>
      <c r="N1715" s="103">
        <v>8</v>
      </c>
      <c r="O1715" s="103"/>
      <c r="P1715" s="103"/>
      <c r="Q1715" s="103"/>
      <c r="R1715" s="103"/>
      <c r="S1715" s="103"/>
      <c r="T1715" s="103"/>
      <c r="U1715" s="103"/>
      <c r="V1715" s="103">
        <v>62</v>
      </c>
      <c r="W1715" s="103">
        <v>18</v>
      </c>
      <c r="X1715" s="103">
        <v>8</v>
      </c>
      <c r="Y1715" s="103"/>
      <c r="Z1715" s="103"/>
      <c r="AA1715" s="103"/>
      <c r="AB1715" s="103">
        <v>80</v>
      </c>
      <c r="AC1715" s="103"/>
      <c r="AD1715" s="103"/>
      <c r="AE1715" s="103"/>
      <c r="AF1715" s="103">
        <v>102</v>
      </c>
      <c r="AG1715" s="103"/>
      <c r="AH1715" s="103">
        <v>8</v>
      </c>
      <c r="AI1715" s="103"/>
      <c r="AJ1715" s="103"/>
      <c r="AK1715" s="103">
        <v>6</v>
      </c>
      <c r="AL1715" s="103"/>
      <c r="AM1715" s="103"/>
      <c r="AN1715" s="103">
        <v>284</v>
      </c>
      <c r="AO1715" s="103"/>
      <c r="AP1715" s="103"/>
      <c r="AQ1715" s="103"/>
      <c r="AR1715" s="103"/>
      <c r="AS1715" s="103"/>
      <c r="AT1715" s="103"/>
      <c r="AU1715" s="103"/>
      <c r="AV1715" s="103"/>
      <c r="AW1715" s="104" t="str">
        <f>HYPERLINK("http://www.openstreetmap.org/?mlat=36.3344&amp;mlon=42.3703&amp;zoom=12#map=12/36.3344/42.3703","Maplink1")</f>
        <v>Maplink1</v>
      </c>
      <c r="AX1715" s="104" t="str">
        <f>HYPERLINK("https://www.google.iq/maps/search/+36.3344,42.3703/@36.3344,42.3703,14z?hl=en","Maplink2")</f>
        <v>Maplink2</v>
      </c>
      <c r="AY1715" s="104" t="str">
        <f>HYPERLINK("http://www.bing.com/maps/?lvl=14&amp;sty=h&amp;cp=36.3344~42.3703&amp;sp=point.36.3344_42.3703","Maplink3")</f>
        <v>Maplink3</v>
      </c>
    </row>
    <row r="1716" spans="1:51" x14ac:dyDescent="0.2">
      <c r="A1716" s="102">
        <v>22446</v>
      </c>
      <c r="B1716" s="103" t="s">
        <v>35</v>
      </c>
      <c r="C1716" s="103" t="s">
        <v>104</v>
      </c>
      <c r="D1716" s="103" t="s">
        <v>3342</v>
      </c>
      <c r="E1716" s="103" t="s">
        <v>3343</v>
      </c>
      <c r="F1716" s="103">
        <v>36.609344219999997</v>
      </c>
      <c r="G1716" s="103">
        <v>42.571996969899999</v>
      </c>
      <c r="H1716" s="102">
        <v>425</v>
      </c>
      <c r="I1716" s="102">
        <v>2550</v>
      </c>
      <c r="J1716" s="103"/>
      <c r="K1716" s="103"/>
      <c r="L1716" s="103"/>
      <c r="M1716" s="103">
        <v>425</v>
      </c>
      <c r="N1716" s="103"/>
      <c r="O1716" s="103"/>
      <c r="P1716" s="103"/>
      <c r="Q1716" s="103"/>
      <c r="R1716" s="103"/>
      <c r="S1716" s="103"/>
      <c r="T1716" s="103"/>
      <c r="U1716" s="103"/>
      <c r="V1716" s="103"/>
      <c r="W1716" s="103"/>
      <c r="X1716" s="103"/>
      <c r="Y1716" s="103">
        <v>425</v>
      </c>
      <c r="Z1716" s="103"/>
      <c r="AA1716" s="103"/>
      <c r="AB1716" s="103"/>
      <c r="AC1716" s="103"/>
      <c r="AD1716" s="103"/>
      <c r="AE1716" s="103"/>
      <c r="AF1716" s="103"/>
      <c r="AG1716" s="103"/>
      <c r="AH1716" s="103"/>
      <c r="AI1716" s="103"/>
      <c r="AJ1716" s="103"/>
      <c r="AK1716" s="103"/>
      <c r="AL1716" s="103"/>
      <c r="AM1716" s="103"/>
      <c r="AN1716" s="103"/>
      <c r="AO1716" s="103">
        <v>405</v>
      </c>
      <c r="AP1716" s="103"/>
      <c r="AQ1716" s="103"/>
      <c r="AR1716" s="103"/>
      <c r="AS1716" s="103"/>
      <c r="AT1716" s="103">
        <v>20</v>
      </c>
      <c r="AU1716" s="103"/>
      <c r="AV1716" s="103"/>
      <c r="AW1716" s="104" t="str">
        <f>HYPERLINK("http://www.openstreetmap.org/?mlat=36.6093&amp;mlon=42.572&amp;zoom=12#map=12/36.6093/42.572","Maplink1")</f>
        <v>Maplink1</v>
      </c>
      <c r="AX1716" s="104" t="str">
        <f>HYPERLINK("https://www.google.iq/maps/search/+36.6093,42.572/@36.6093,42.572,14z?hl=en","Maplink2")</f>
        <v>Maplink2</v>
      </c>
      <c r="AY1716" s="104" t="str">
        <f>HYPERLINK("http://www.bing.com/maps/?lvl=14&amp;sty=h&amp;cp=36.6093~42.572&amp;sp=point.36.6093_42.572","Maplink3")</f>
        <v>Maplink3</v>
      </c>
    </row>
    <row r="1717" spans="1:51" x14ac:dyDescent="0.2">
      <c r="A1717" s="102">
        <v>33400</v>
      </c>
      <c r="B1717" s="103" t="s">
        <v>35</v>
      </c>
      <c r="C1717" s="103" t="s">
        <v>104</v>
      </c>
      <c r="D1717" s="103" t="s">
        <v>3344</v>
      </c>
      <c r="E1717" s="103" t="s">
        <v>3345</v>
      </c>
      <c r="F1717" s="103">
        <v>36.629800000000003</v>
      </c>
      <c r="G1717" s="103">
        <v>42.466407828100003</v>
      </c>
      <c r="H1717" s="102">
        <v>94</v>
      </c>
      <c r="I1717" s="102">
        <v>564</v>
      </c>
      <c r="J1717" s="103"/>
      <c r="K1717" s="103"/>
      <c r="L1717" s="103"/>
      <c r="M1717" s="103">
        <v>90</v>
      </c>
      <c r="N1717" s="103">
        <v>4</v>
      </c>
      <c r="O1717" s="103"/>
      <c r="P1717" s="103"/>
      <c r="Q1717" s="103"/>
      <c r="R1717" s="103"/>
      <c r="S1717" s="103"/>
      <c r="T1717" s="103"/>
      <c r="U1717" s="103"/>
      <c r="V1717" s="103"/>
      <c r="W1717" s="103"/>
      <c r="X1717" s="103"/>
      <c r="Y1717" s="103"/>
      <c r="Z1717" s="103"/>
      <c r="AA1717" s="103"/>
      <c r="AB1717" s="103"/>
      <c r="AC1717" s="103"/>
      <c r="AD1717" s="103"/>
      <c r="AE1717" s="103"/>
      <c r="AF1717" s="103"/>
      <c r="AG1717" s="103">
        <v>94</v>
      </c>
      <c r="AH1717" s="103"/>
      <c r="AI1717" s="103"/>
      <c r="AJ1717" s="103"/>
      <c r="AK1717" s="103"/>
      <c r="AL1717" s="103"/>
      <c r="AM1717" s="103"/>
      <c r="AN1717" s="103"/>
      <c r="AO1717" s="103"/>
      <c r="AP1717" s="103">
        <v>94</v>
      </c>
      <c r="AQ1717" s="103"/>
      <c r="AR1717" s="103"/>
      <c r="AS1717" s="103"/>
      <c r="AT1717" s="103"/>
      <c r="AU1717" s="103"/>
      <c r="AV1717" s="103"/>
      <c r="AW1717" s="104" t="str">
        <f>HYPERLINK("http://www.openstreetmap.org/?mlat=36.6298&amp;mlon=42.4664&amp;zoom=12#map=12/36.6298/42.4664","Maplink1")</f>
        <v>Maplink1</v>
      </c>
      <c r="AX1717" s="104" t="str">
        <f>HYPERLINK("https://www.google.iq/maps/search/+36.6298,42.4664/@36.6298,42.4664,14z?hl=en","Maplink2")</f>
        <v>Maplink2</v>
      </c>
      <c r="AY1717" s="104" t="str">
        <f>HYPERLINK("http://www.bing.com/maps/?lvl=14&amp;sty=h&amp;cp=36.6298~42.4664&amp;sp=point.36.6298_42.4664","Maplink3")</f>
        <v>Maplink3</v>
      </c>
    </row>
    <row r="1718" spans="1:51" x14ac:dyDescent="0.2">
      <c r="A1718" s="102">
        <v>33456</v>
      </c>
      <c r="B1718" s="103" t="s">
        <v>35</v>
      </c>
      <c r="C1718" s="103" t="s">
        <v>104</v>
      </c>
      <c r="D1718" s="103" t="s">
        <v>3346</v>
      </c>
      <c r="E1718" s="103" t="s">
        <v>3347</v>
      </c>
      <c r="F1718" s="103">
        <v>36.505000000000003</v>
      </c>
      <c r="G1718" s="103">
        <v>42.376607251700001</v>
      </c>
      <c r="H1718" s="102">
        <v>80</v>
      </c>
      <c r="I1718" s="102">
        <v>480</v>
      </c>
      <c r="J1718" s="103"/>
      <c r="K1718" s="103"/>
      <c r="L1718" s="103"/>
      <c r="M1718" s="103">
        <v>50</v>
      </c>
      <c r="N1718" s="103">
        <v>30</v>
      </c>
      <c r="O1718" s="103"/>
      <c r="P1718" s="103"/>
      <c r="Q1718" s="103"/>
      <c r="R1718" s="103"/>
      <c r="S1718" s="103"/>
      <c r="T1718" s="103"/>
      <c r="U1718" s="103"/>
      <c r="V1718" s="103"/>
      <c r="W1718" s="103"/>
      <c r="X1718" s="103"/>
      <c r="Y1718" s="103"/>
      <c r="Z1718" s="103"/>
      <c r="AA1718" s="103"/>
      <c r="AB1718" s="103"/>
      <c r="AC1718" s="103"/>
      <c r="AD1718" s="103"/>
      <c r="AE1718" s="103"/>
      <c r="AF1718" s="103"/>
      <c r="AG1718" s="103">
        <v>80</v>
      </c>
      <c r="AH1718" s="103"/>
      <c r="AI1718" s="103"/>
      <c r="AJ1718" s="103"/>
      <c r="AK1718" s="103"/>
      <c r="AL1718" s="103"/>
      <c r="AM1718" s="103"/>
      <c r="AN1718" s="103"/>
      <c r="AO1718" s="103"/>
      <c r="AP1718" s="103">
        <v>80</v>
      </c>
      <c r="AQ1718" s="103"/>
      <c r="AR1718" s="103"/>
      <c r="AS1718" s="103"/>
      <c r="AT1718" s="103"/>
      <c r="AU1718" s="103"/>
      <c r="AV1718" s="103"/>
      <c r="AW1718" s="104" t="str">
        <f>HYPERLINK("http://www.openstreetmap.org/?mlat=36.505&amp;mlon=42.3766&amp;zoom=12#map=12/36.505/42.3766","Maplink1")</f>
        <v>Maplink1</v>
      </c>
      <c r="AX1718" s="104" t="str">
        <f>HYPERLINK("https://www.google.iq/maps/search/+36.505,42.3766/@36.505,42.3766,14z?hl=en","Maplink2")</f>
        <v>Maplink2</v>
      </c>
      <c r="AY1718" s="104" t="str">
        <f>HYPERLINK("http://www.bing.com/maps/?lvl=14&amp;sty=h&amp;cp=36.505~42.3766&amp;sp=point.36.505_42.3766","Maplink3")</f>
        <v>Maplink3</v>
      </c>
    </row>
    <row r="1719" spans="1:51" x14ac:dyDescent="0.2">
      <c r="A1719" s="102">
        <v>33471</v>
      </c>
      <c r="B1719" s="103" t="s">
        <v>35</v>
      </c>
      <c r="C1719" s="103" t="s">
        <v>104</v>
      </c>
      <c r="D1719" s="103" t="s">
        <v>3348</v>
      </c>
      <c r="E1719" s="103" t="s">
        <v>3349</v>
      </c>
      <c r="F1719" s="103">
        <v>36.505502</v>
      </c>
      <c r="G1719" s="103">
        <v>42.060603432599997</v>
      </c>
      <c r="H1719" s="102">
        <v>141</v>
      </c>
      <c r="I1719" s="102">
        <v>846</v>
      </c>
      <c r="J1719" s="103"/>
      <c r="K1719" s="103"/>
      <c r="L1719" s="103"/>
      <c r="M1719" s="103">
        <v>91</v>
      </c>
      <c r="N1719" s="103">
        <v>50</v>
      </c>
      <c r="O1719" s="103"/>
      <c r="P1719" s="103"/>
      <c r="Q1719" s="103"/>
      <c r="R1719" s="103"/>
      <c r="S1719" s="103"/>
      <c r="T1719" s="103"/>
      <c r="U1719" s="103"/>
      <c r="V1719" s="103"/>
      <c r="W1719" s="103"/>
      <c r="X1719" s="103"/>
      <c r="Y1719" s="103"/>
      <c r="Z1719" s="103"/>
      <c r="AA1719" s="103"/>
      <c r="AB1719" s="103"/>
      <c r="AC1719" s="103"/>
      <c r="AD1719" s="103"/>
      <c r="AE1719" s="103"/>
      <c r="AF1719" s="103"/>
      <c r="AG1719" s="103">
        <v>141</v>
      </c>
      <c r="AH1719" s="103"/>
      <c r="AI1719" s="103"/>
      <c r="AJ1719" s="103"/>
      <c r="AK1719" s="103"/>
      <c r="AL1719" s="103"/>
      <c r="AM1719" s="103"/>
      <c r="AN1719" s="103"/>
      <c r="AO1719" s="103"/>
      <c r="AP1719" s="103">
        <v>141</v>
      </c>
      <c r="AQ1719" s="103"/>
      <c r="AR1719" s="103"/>
      <c r="AS1719" s="103"/>
      <c r="AT1719" s="103"/>
      <c r="AU1719" s="103"/>
      <c r="AV1719" s="103"/>
      <c r="AW1719" s="104" t="str">
        <f>HYPERLINK("http://www.openstreetmap.org/?mlat=36.5055&amp;mlon=42.0606&amp;zoom=12#map=12/36.5055/42.0606","Maplink1")</f>
        <v>Maplink1</v>
      </c>
      <c r="AX1719" s="104" t="str">
        <f>HYPERLINK("https://www.google.iq/maps/search/+36.5055,42.0606/@36.5055,42.0606,14z?hl=en","Maplink2")</f>
        <v>Maplink2</v>
      </c>
      <c r="AY1719" s="104" t="str">
        <f>HYPERLINK("http://www.bing.com/maps/?lvl=14&amp;sty=h&amp;cp=36.5055~42.0606&amp;sp=point.36.5055_42.0606","Maplink3")</f>
        <v>Maplink3</v>
      </c>
    </row>
    <row r="1720" spans="1:51" x14ac:dyDescent="0.2">
      <c r="A1720" s="102">
        <v>17944</v>
      </c>
      <c r="B1720" s="103" t="s">
        <v>35</v>
      </c>
      <c r="C1720" s="103" t="s">
        <v>104</v>
      </c>
      <c r="D1720" s="103" t="s">
        <v>3127</v>
      </c>
      <c r="E1720" s="103" t="s">
        <v>3128</v>
      </c>
      <c r="F1720" s="103">
        <v>36.629461213699997</v>
      </c>
      <c r="G1720" s="103">
        <v>42.598467437399997</v>
      </c>
      <c r="H1720" s="102">
        <v>850</v>
      </c>
      <c r="I1720" s="102">
        <v>5100</v>
      </c>
      <c r="J1720" s="103"/>
      <c r="K1720" s="103"/>
      <c r="L1720" s="103"/>
      <c r="M1720" s="103">
        <v>850</v>
      </c>
      <c r="N1720" s="103"/>
      <c r="O1720" s="103"/>
      <c r="P1720" s="103"/>
      <c r="Q1720" s="103"/>
      <c r="R1720" s="103"/>
      <c r="S1720" s="103"/>
      <c r="T1720" s="103"/>
      <c r="U1720" s="103"/>
      <c r="V1720" s="103"/>
      <c r="W1720" s="103"/>
      <c r="X1720" s="103"/>
      <c r="Y1720" s="103">
        <v>850</v>
      </c>
      <c r="Z1720" s="103"/>
      <c r="AA1720" s="103"/>
      <c r="AB1720" s="103"/>
      <c r="AC1720" s="103"/>
      <c r="AD1720" s="103"/>
      <c r="AE1720" s="103"/>
      <c r="AF1720" s="103"/>
      <c r="AG1720" s="103"/>
      <c r="AH1720" s="103"/>
      <c r="AI1720" s="103"/>
      <c r="AJ1720" s="103"/>
      <c r="AK1720" s="103"/>
      <c r="AL1720" s="103"/>
      <c r="AM1720" s="103"/>
      <c r="AN1720" s="103"/>
      <c r="AO1720" s="103">
        <v>820</v>
      </c>
      <c r="AP1720" s="103"/>
      <c r="AQ1720" s="103"/>
      <c r="AR1720" s="103"/>
      <c r="AS1720" s="103"/>
      <c r="AT1720" s="103">
        <v>30</v>
      </c>
      <c r="AU1720" s="103"/>
      <c r="AV1720" s="103"/>
      <c r="AW1720" s="104" t="str">
        <f>HYPERLINK("http://www.openstreetmap.org/?mlat=36.6295&amp;mlon=42.5985&amp;zoom=12#map=12/36.6295/42.5985","Maplink1")</f>
        <v>Maplink1</v>
      </c>
      <c r="AX1720" s="104" t="str">
        <f>HYPERLINK("https://www.google.iq/maps/search/+36.6295,42.5985/@36.6295,42.5985,14z?hl=en","Maplink2")</f>
        <v>Maplink2</v>
      </c>
      <c r="AY1720" s="104" t="str">
        <f>HYPERLINK("http://www.bing.com/maps/?lvl=14&amp;sty=h&amp;cp=36.6295~42.5985&amp;sp=point.36.6295_42.5985","Maplink3")</f>
        <v>Maplink3</v>
      </c>
    </row>
    <row r="1721" spans="1:51" x14ac:dyDescent="0.2">
      <c r="A1721" s="102">
        <v>17665</v>
      </c>
      <c r="B1721" s="103" t="s">
        <v>35</v>
      </c>
      <c r="C1721" s="103" t="s">
        <v>104</v>
      </c>
      <c r="D1721" s="103" t="s">
        <v>3129</v>
      </c>
      <c r="E1721" s="103" t="s">
        <v>3130</v>
      </c>
      <c r="F1721" s="103">
        <v>36.843954609999997</v>
      </c>
      <c r="G1721" s="103">
        <v>42.360521650000003</v>
      </c>
      <c r="H1721" s="102">
        <v>45</v>
      </c>
      <c r="I1721" s="102">
        <v>270</v>
      </c>
      <c r="J1721" s="103"/>
      <c r="K1721" s="103"/>
      <c r="L1721" s="103"/>
      <c r="M1721" s="103">
        <v>45</v>
      </c>
      <c r="N1721" s="103"/>
      <c r="O1721" s="103"/>
      <c r="P1721" s="103"/>
      <c r="Q1721" s="103"/>
      <c r="R1721" s="103"/>
      <c r="S1721" s="103"/>
      <c r="T1721" s="103"/>
      <c r="U1721" s="103"/>
      <c r="V1721" s="103"/>
      <c r="W1721" s="103"/>
      <c r="X1721" s="103"/>
      <c r="Y1721" s="103">
        <v>45</v>
      </c>
      <c r="Z1721" s="103"/>
      <c r="AA1721" s="103"/>
      <c r="AB1721" s="103"/>
      <c r="AC1721" s="103"/>
      <c r="AD1721" s="103"/>
      <c r="AE1721" s="103"/>
      <c r="AF1721" s="103"/>
      <c r="AG1721" s="103"/>
      <c r="AH1721" s="103"/>
      <c r="AI1721" s="103"/>
      <c r="AJ1721" s="103"/>
      <c r="AK1721" s="103"/>
      <c r="AL1721" s="103"/>
      <c r="AM1721" s="103"/>
      <c r="AN1721" s="103"/>
      <c r="AO1721" s="103"/>
      <c r="AP1721" s="103"/>
      <c r="AQ1721" s="103"/>
      <c r="AR1721" s="103"/>
      <c r="AS1721" s="103"/>
      <c r="AT1721" s="103">
        <v>45</v>
      </c>
      <c r="AU1721" s="103"/>
      <c r="AV1721" s="103"/>
      <c r="AW1721" s="104" t="str">
        <f>HYPERLINK("http://www.openstreetmap.org/?mlat=36.844&amp;mlon=42.3605&amp;zoom=12#map=12/36.844/42.3605","Maplink1")</f>
        <v>Maplink1</v>
      </c>
      <c r="AX1721" s="104" t="str">
        <f>HYPERLINK("https://www.google.iq/maps/search/+36.844,42.3605/@36.844,42.3605,14z?hl=en","Maplink2")</f>
        <v>Maplink2</v>
      </c>
      <c r="AY1721" s="104" t="str">
        <f>HYPERLINK("http://www.bing.com/maps/?lvl=14&amp;sty=h&amp;cp=36.844~42.3605&amp;sp=point.36.844_42.3605","Maplink3")</f>
        <v>Maplink3</v>
      </c>
    </row>
    <row r="1722" spans="1:51" x14ac:dyDescent="0.2">
      <c r="A1722" s="102">
        <v>17623</v>
      </c>
      <c r="B1722" s="103" t="s">
        <v>35</v>
      </c>
      <c r="C1722" s="103" t="s">
        <v>104</v>
      </c>
      <c r="D1722" s="103" t="s">
        <v>3131</v>
      </c>
      <c r="E1722" s="103" t="s">
        <v>3132</v>
      </c>
      <c r="F1722" s="103">
        <v>36.769399999999997</v>
      </c>
      <c r="G1722" s="103">
        <v>42.545820024199998</v>
      </c>
      <c r="H1722" s="102">
        <v>190</v>
      </c>
      <c r="I1722" s="102">
        <v>1140</v>
      </c>
      <c r="J1722" s="103"/>
      <c r="K1722" s="103"/>
      <c r="L1722" s="103"/>
      <c r="M1722" s="103"/>
      <c r="N1722" s="103">
        <v>190</v>
      </c>
      <c r="O1722" s="103"/>
      <c r="P1722" s="103"/>
      <c r="Q1722" s="103"/>
      <c r="R1722" s="103"/>
      <c r="S1722" s="103"/>
      <c r="T1722" s="103"/>
      <c r="U1722" s="103"/>
      <c r="V1722" s="103"/>
      <c r="W1722" s="103"/>
      <c r="X1722" s="103"/>
      <c r="Y1722" s="103"/>
      <c r="Z1722" s="103"/>
      <c r="AA1722" s="103"/>
      <c r="AB1722" s="103"/>
      <c r="AC1722" s="103"/>
      <c r="AD1722" s="103"/>
      <c r="AE1722" s="103"/>
      <c r="AF1722" s="103"/>
      <c r="AG1722" s="103">
        <v>190</v>
      </c>
      <c r="AH1722" s="103"/>
      <c r="AI1722" s="103"/>
      <c r="AJ1722" s="103"/>
      <c r="AK1722" s="103"/>
      <c r="AL1722" s="103"/>
      <c r="AM1722" s="103"/>
      <c r="AN1722" s="103"/>
      <c r="AO1722" s="103">
        <v>190</v>
      </c>
      <c r="AP1722" s="103"/>
      <c r="AQ1722" s="103"/>
      <c r="AR1722" s="103"/>
      <c r="AS1722" s="103"/>
      <c r="AT1722" s="103"/>
      <c r="AU1722" s="103"/>
      <c r="AV1722" s="103"/>
      <c r="AW1722" s="104" t="str">
        <f>HYPERLINK("http://www.openstreetmap.org/?mlat=36.7694&amp;mlon=42.5458&amp;zoom=12#map=12/36.7694/42.5458","Maplink1")</f>
        <v>Maplink1</v>
      </c>
      <c r="AX1722" s="104" t="str">
        <f>HYPERLINK("https://www.google.iq/maps/search/+36.7694,42.5458/@36.7694,42.5458,14z?hl=en","Maplink2")</f>
        <v>Maplink2</v>
      </c>
      <c r="AY1722" s="104" t="str">
        <f>HYPERLINK("http://www.bing.com/maps/?lvl=14&amp;sty=h&amp;cp=36.7694~42.5458&amp;sp=point.36.7694_42.5458","Maplink3")</f>
        <v>Maplink3</v>
      </c>
    </row>
    <row r="1723" spans="1:51" x14ac:dyDescent="0.2">
      <c r="A1723" s="102">
        <v>22105</v>
      </c>
      <c r="B1723" s="103" t="s">
        <v>35</v>
      </c>
      <c r="C1723" s="103" t="s">
        <v>104</v>
      </c>
      <c r="D1723" s="103" t="s">
        <v>3133</v>
      </c>
      <c r="E1723" s="103" t="s">
        <v>3134</v>
      </c>
      <c r="F1723" s="103">
        <v>36.467399999999998</v>
      </c>
      <c r="G1723" s="103">
        <v>42.667290800000004</v>
      </c>
      <c r="H1723" s="102">
        <v>210</v>
      </c>
      <c r="I1723" s="102">
        <v>1260</v>
      </c>
      <c r="J1723" s="103"/>
      <c r="K1723" s="103"/>
      <c r="L1723" s="103"/>
      <c r="M1723" s="103">
        <v>192</v>
      </c>
      <c r="N1723" s="103">
        <v>18</v>
      </c>
      <c r="O1723" s="103"/>
      <c r="P1723" s="103"/>
      <c r="Q1723" s="103"/>
      <c r="R1723" s="103"/>
      <c r="S1723" s="103"/>
      <c r="T1723" s="103"/>
      <c r="U1723" s="103"/>
      <c r="V1723" s="103"/>
      <c r="W1723" s="103"/>
      <c r="X1723" s="103"/>
      <c r="Y1723" s="103"/>
      <c r="Z1723" s="103"/>
      <c r="AA1723" s="103"/>
      <c r="AB1723" s="103"/>
      <c r="AC1723" s="103"/>
      <c r="AD1723" s="103"/>
      <c r="AE1723" s="103"/>
      <c r="AF1723" s="103"/>
      <c r="AG1723" s="103">
        <v>210</v>
      </c>
      <c r="AH1723" s="103"/>
      <c r="AI1723" s="103"/>
      <c r="AJ1723" s="103"/>
      <c r="AK1723" s="103"/>
      <c r="AL1723" s="103"/>
      <c r="AM1723" s="103"/>
      <c r="AN1723" s="103"/>
      <c r="AO1723" s="103"/>
      <c r="AP1723" s="103">
        <v>210</v>
      </c>
      <c r="AQ1723" s="103"/>
      <c r="AR1723" s="103"/>
      <c r="AS1723" s="103"/>
      <c r="AT1723" s="103"/>
      <c r="AU1723" s="103"/>
      <c r="AV1723" s="103"/>
      <c r="AW1723" s="104" t="str">
        <f>HYPERLINK("http://www.openstreetmap.org/?mlat=36.4674&amp;mlon=42.6673&amp;zoom=12#map=12/36.4674/42.6673","Maplink1")</f>
        <v>Maplink1</v>
      </c>
      <c r="AX1723" s="104" t="str">
        <f>HYPERLINK("https://www.google.iq/maps/search/+36.4674,42.6673/@36.4674,42.6673,14z?hl=en","Maplink2")</f>
        <v>Maplink2</v>
      </c>
      <c r="AY1723" s="104" t="str">
        <f>HYPERLINK("http://www.bing.com/maps/?lvl=14&amp;sty=h&amp;cp=36.4674~42.6673&amp;sp=point.36.4674_42.6673","Maplink3")</f>
        <v>Maplink3</v>
      </c>
    </row>
    <row r="1724" spans="1:51" x14ac:dyDescent="0.2">
      <c r="A1724" s="102">
        <v>33419</v>
      </c>
      <c r="B1724" s="103" t="s">
        <v>35</v>
      </c>
      <c r="C1724" s="103" t="s">
        <v>104</v>
      </c>
      <c r="D1724" s="103" t="s">
        <v>3135</v>
      </c>
      <c r="E1724" s="103" t="s">
        <v>3136</v>
      </c>
      <c r="F1724" s="103">
        <v>36.496400000000001</v>
      </c>
      <c r="G1724" s="103">
        <v>42.591516689300001</v>
      </c>
      <c r="H1724" s="102">
        <v>160</v>
      </c>
      <c r="I1724" s="102">
        <v>960</v>
      </c>
      <c r="J1724" s="103"/>
      <c r="K1724" s="103"/>
      <c r="L1724" s="103"/>
      <c r="M1724" s="103">
        <v>160</v>
      </c>
      <c r="N1724" s="103"/>
      <c r="O1724" s="103"/>
      <c r="P1724" s="103"/>
      <c r="Q1724" s="103"/>
      <c r="R1724" s="103"/>
      <c r="S1724" s="103"/>
      <c r="T1724" s="103"/>
      <c r="U1724" s="103"/>
      <c r="V1724" s="103"/>
      <c r="W1724" s="103"/>
      <c r="X1724" s="103"/>
      <c r="Y1724" s="103"/>
      <c r="Z1724" s="103"/>
      <c r="AA1724" s="103"/>
      <c r="AB1724" s="103"/>
      <c r="AC1724" s="103"/>
      <c r="AD1724" s="103"/>
      <c r="AE1724" s="103"/>
      <c r="AF1724" s="103"/>
      <c r="AG1724" s="103">
        <v>160</v>
      </c>
      <c r="AH1724" s="103"/>
      <c r="AI1724" s="103"/>
      <c r="AJ1724" s="103"/>
      <c r="AK1724" s="103"/>
      <c r="AL1724" s="103"/>
      <c r="AM1724" s="103"/>
      <c r="AN1724" s="103"/>
      <c r="AO1724" s="103"/>
      <c r="AP1724" s="103">
        <v>160</v>
      </c>
      <c r="AQ1724" s="103"/>
      <c r="AR1724" s="103"/>
      <c r="AS1724" s="103"/>
      <c r="AT1724" s="103"/>
      <c r="AU1724" s="103"/>
      <c r="AV1724" s="103"/>
      <c r="AW1724" s="104" t="str">
        <f>HYPERLINK("http://www.openstreetmap.org/?mlat=36.4964&amp;mlon=42.5915&amp;zoom=12#map=12/36.4964/42.5915","Maplink1")</f>
        <v>Maplink1</v>
      </c>
      <c r="AX1724" s="104" t="str">
        <f>HYPERLINK("https://www.google.iq/maps/search/+36.4964,42.5915/@36.4964,42.5915,14z?hl=en","Maplink2")</f>
        <v>Maplink2</v>
      </c>
      <c r="AY1724" s="104" t="str">
        <f>HYPERLINK("http://www.bing.com/maps/?lvl=14&amp;sty=h&amp;cp=36.4964~42.5915&amp;sp=point.36.4964_42.5915","Maplink3")</f>
        <v>Maplink3</v>
      </c>
    </row>
    <row r="1725" spans="1:51" x14ac:dyDescent="0.2">
      <c r="A1725" s="102">
        <v>17614</v>
      </c>
      <c r="B1725" s="103" t="s">
        <v>35</v>
      </c>
      <c r="C1725" s="103" t="s">
        <v>104</v>
      </c>
      <c r="D1725" s="103" t="s">
        <v>3175</v>
      </c>
      <c r="E1725" s="103" t="s">
        <v>3176</v>
      </c>
      <c r="F1725" s="103">
        <v>36.750309700599999</v>
      </c>
      <c r="G1725" s="103">
        <v>42.171201844099997</v>
      </c>
      <c r="H1725" s="102">
        <v>444</v>
      </c>
      <c r="I1725" s="102">
        <v>2664</v>
      </c>
      <c r="J1725" s="103"/>
      <c r="K1725" s="103"/>
      <c r="L1725" s="103"/>
      <c r="M1725" s="103">
        <v>444</v>
      </c>
      <c r="N1725" s="103"/>
      <c r="O1725" s="103"/>
      <c r="P1725" s="103"/>
      <c r="Q1725" s="103"/>
      <c r="R1725" s="103"/>
      <c r="S1725" s="103"/>
      <c r="T1725" s="103"/>
      <c r="U1725" s="103"/>
      <c r="V1725" s="103"/>
      <c r="W1725" s="103"/>
      <c r="X1725" s="103"/>
      <c r="Y1725" s="103"/>
      <c r="Z1725" s="103"/>
      <c r="AA1725" s="103"/>
      <c r="AB1725" s="103"/>
      <c r="AC1725" s="103"/>
      <c r="AD1725" s="103"/>
      <c r="AE1725" s="103"/>
      <c r="AF1725" s="103"/>
      <c r="AG1725" s="103">
        <v>444</v>
      </c>
      <c r="AH1725" s="103"/>
      <c r="AI1725" s="103"/>
      <c r="AJ1725" s="103"/>
      <c r="AK1725" s="103"/>
      <c r="AL1725" s="103"/>
      <c r="AM1725" s="103"/>
      <c r="AN1725" s="103"/>
      <c r="AO1725" s="103">
        <v>444</v>
      </c>
      <c r="AP1725" s="103"/>
      <c r="AQ1725" s="103"/>
      <c r="AR1725" s="103"/>
      <c r="AS1725" s="103"/>
      <c r="AT1725" s="103"/>
      <c r="AU1725" s="103"/>
      <c r="AV1725" s="103"/>
      <c r="AW1725" s="104" t="str">
        <f>HYPERLINK("http://www.openstreetmap.org/?mlat=36.7503&amp;mlon=42.1712&amp;zoom=12#map=12/36.7503/42.1712","Maplink1")</f>
        <v>Maplink1</v>
      </c>
      <c r="AX1725" s="104" t="str">
        <f>HYPERLINK("https://www.google.iq/maps/search/+36.7503,42.1712/@36.7503,42.1712,14z?hl=en","Maplink2")</f>
        <v>Maplink2</v>
      </c>
      <c r="AY1725" s="104" t="str">
        <f>HYPERLINK("http://www.bing.com/maps/?lvl=14&amp;sty=h&amp;cp=36.7503~42.1712&amp;sp=point.36.7503_42.1712","Maplink3")</f>
        <v>Maplink3</v>
      </c>
    </row>
    <row r="1726" spans="1:51" x14ac:dyDescent="0.2">
      <c r="A1726" s="102">
        <v>17814</v>
      </c>
      <c r="B1726" s="103" t="s">
        <v>35</v>
      </c>
      <c r="C1726" s="103" t="s">
        <v>104</v>
      </c>
      <c r="D1726" s="103" t="s">
        <v>3177</v>
      </c>
      <c r="E1726" s="103" t="s">
        <v>3178</v>
      </c>
      <c r="F1726" s="103">
        <v>36.749101121599999</v>
      </c>
      <c r="G1726" s="103">
        <v>42.304171919600002</v>
      </c>
      <c r="H1726" s="102">
        <v>486</v>
      </c>
      <c r="I1726" s="102">
        <v>2916</v>
      </c>
      <c r="J1726" s="103"/>
      <c r="K1726" s="103"/>
      <c r="L1726" s="103"/>
      <c r="M1726" s="103">
        <v>486</v>
      </c>
      <c r="N1726" s="103"/>
      <c r="O1726" s="103"/>
      <c r="P1726" s="103"/>
      <c r="Q1726" s="103"/>
      <c r="R1726" s="103"/>
      <c r="S1726" s="103"/>
      <c r="T1726" s="103"/>
      <c r="U1726" s="103"/>
      <c r="V1726" s="103"/>
      <c r="W1726" s="103"/>
      <c r="X1726" s="103"/>
      <c r="Y1726" s="103"/>
      <c r="Z1726" s="103"/>
      <c r="AA1726" s="103"/>
      <c r="AB1726" s="103"/>
      <c r="AC1726" s="103"/>
      <c r="AD1726" s="103"/>
      <c r="AE1726" s="103"/>
      <c r="AF1726" s="103"/>
      <c r="AG1726" s="103">
        <v>486</v>
      </c>
      <c r="AH1726" s="103"/>
      <c r="AI1726" s="103"/>
      <c r="AJ1726" s="103"/>
      <c r="AK1726" s="103"/>
      <c r="AL1726" s="103"/>
      <c r="AM1726" s="103"/>
      <c r="AN1726" s="103"/>
      <c r="AO1726" s="103">
        <v>486</v>
      </c>
      <c r="AP1726" s="103"/>
      <c r="AQ1726" s="103"/>
      <c r="AR1726" s="103"/>
      <c r="AS1726" s="103"/>
      <c r="AT1726" s="103"/>
      <c r="AU1726" s="103"/>
      <c r="AV1726" s="103"/>
      <c r="AW1726" s="104" t="str">
        <f>HYPERLINK("http://www.openstreetmap.org/?mlat=36.7491&amp;mlon=42.3042&amp;zoom=12#map=12/36.7491/42.3042","Maplink1")</f>
        <v>Maplink1</v>
      </c>
      <c r="AX1726" s="104" t="str">
        <f>HYPERLINK("https://www.google.iq/maps/search/+36.7491,42.3042/@36.7491,42.3042,14z?hl=en","Maplink2")</f>
        <v>Maplink2</v>
      </c>
      <c r="AY1726" s="104" t="str">
        <f>HYPERLINK("http://www.bing.com/maps/?lvl=14&amp;sty=h&amp;cp=36.7491~42.3042&amp;sp=point.36.7491_42.3042","Maplink3")</f>
        <v>Maplink3</v>
      </c>
    </row>
    <row r="1727" spans="1:51" x14ac:dyDescent="0.2">
      <c r="A1727" s="102">
        <v>17933</v>
      </c>
      <c r="B1727" s="103" t="s">
        <v>35</v>
      </c>
      <c r="C1727" s="103" t="s">
        <v>104</v>
      </c>
      <c r="D1727" s="103" t="s">
        <v>3179</v>
      </c>
      <c r="E1727" s="103" t="s">
        <v>1529</v>
      </c>
      <c r="F1727" s="103">
        <v>36.510401756900002</v>
      </c>
      <c r="G1727" s="103">
        <v>42.6718647366</v>
      </c>
      <c r="H1727" s="102">
        <v>21</v>
      </c>
      <c r="I1727" s="102">
        <v>126</v>
      </c>
      <c r="J1727" s="103"/>
      <c r="K1727" s="103"/>
      <c r="L1727" s="103"/>
      <c r="M1727" s="103">
        <v>21</v>
      </c>
      <c r="N1727" s="103"/>
      <c r="O1727" s="103"/>
      <c r="P1727" s="103"/>
      <c r="Q1727" s="103"/>
      <c r="R1727" s="103"/>
      <c r="S1727" s="103"/>
      <c r="T1727" s="103"/>
      <c r="U1727" s="103"/>
      <c r="V1727" s="103"/>
      <c r="W1727" s="103"/>
      <c r="X1727" s="103"/>
      <c r="Y1727" s="103"/>
      <c r="Z1727" s="103"/>
      <c r="AA1727" s="103"/>
      <c r="AB1727" s="103"/>
      <c r="AC1727" s="103"/>
      <c r="AD1727" s="103"/>
      <c r="AE1727" s="103"/>
      <c r="AF1727" s="103"/>
      <c r="AG1727" s="103">
        <v>21</v>
      </c>
      <c r="AH1727" s="103"/>
      <c r="AI1727" s="103"/>
      <c r="AJ1727" s="103"/>
      <c r="AK1727" s="103"/>
      <c r="AL1727" s="103"/>
      <c r="AM1727" s="103"/>
      <c r="AN1727" s="103"/>
      <c r="AO1727" s="103"/>
      <c r="AP1727" s="103">
        <v>21</v>
      </c>
      <c r="AQ1727" s="103"/>
      <c r="AR1727" s="103"/>
      <c r="AS1727" s="103"/>
      <c r="AT1727" s="103"/>
      <c r="AU1727" s="103"/>
      <c r="AV1727" s="103"/>
      <c r="AW1727" s="104" t="str">
        <f>HYPERLINK("http://www.openstreetmap.org/?mlat=36.5104&amp;mlon=42.6719&amp;zoom=12#map=12/36.5104/42.6719","Maplink1")</f>
        <v>Maplink1</v>
      </c>
      <c r="AX1727" s="104" t="str">
        <f>HYPERLINK("https://www.google.iq/maps/search/+36.5104,42.6719/@36.5104,42.6719,14z?hl=en","Maplink2")</f>
        <v>Maplink2</v>
      </c>
      <c r="AY1727" s="104" t="str">
        <f>HYPERLINK("http://www.bing.com/maps/?lvl=14&amp;sty=h&amp;cp=36.5104~42.6719&amp;sp=point.36.5104_42.6719","Maplink3")</f>
        <v>Maplink3</v>
      </c>
    </row>
    <row r="1728" spans="1:51" x14ac:dyDescent="0.2">
      <c r="A1728" s="102">
        <v>18263</v>
      </c>
      <c r="B1728" s="103" t="s">
        <v>35</v>
      </c>
      <c r="C1728" s="103" t="s">
        <v>104</v>
      </c>
      <c r="D1728" s="103" t="s">
        <v>3180</v>
      </c>
      <c r="E1728" s="103" t="s">
        <v>3181</v>
      </c>
      <c r="F1728" s="103">
        <v>36.665999999999997</v>
      </c>
      <c r="G1728" s="103">
        <v>42.508902598200002</v>
      </c>
      <c r="H1728" s="102">
        <v>137</v>
      </c>
      <c r="I1728" s="102">
        <v>822</v>
      </c>
      <c r="J1728" s="103"/>
      <c r="K1728" s="103"/>
      <c r="L1728" s="103"/>
      <c r="M1728" s="103">
        <v>102</v>
      </c>
      <c r="N1728" s="103">
        <v>35</v>
      </c>
      <c r="O1728" s="103"/>
      <c r="P1728" s="103"/>
      <c r="Q1728" s="103"/>
      <c r="R1728" s="103"/>
      <c r="S1728" s="103"/>
      <c r="T1728" s="103"/>
      <c r="U1728" s="103"/>
      <c r="V1728" s="103"/>
      <c r="W1728" s="103"/>
      <c r="X1728" s="103"/>
      <c r="Y1728" s="103"/>
      <c r="Z1728" s="103"/>
      <c r="AA1728" s="103"/>
      <c r="AB1728" s="103"/>
      <c r="AC1728" s="103"/>
      <c r="AD1728" s="103"/>
      <c r="AE1728" s="103"/>
      <c r="AF1728" s="103"/>
      <c r="AG1728" s="103">
        <v>137</v>
      </c>
      <c r="AH1728" s="103"/>
      <c r="AI1728" s="103"/>
      <c r="AJ1728" s="103"/>
      <c r="AK1728" s="103"/>
      <c r="AL1728" s="103"/>
      <c r="AM1728" s="103"/>
      <c r="AN1728" s="103"/>
      <c r="AO1728" s="103">
        <v>137</v>
      </c>
      <c r="AP1728" s="103"/>
      <c r="AQ1728" s="103"/>
      <c r="AR1728" s="103"/>
      <c r="AS1728" s="103"/>
      <c r="AT1728" s="103"/>
      <c r="AU1728" s="103"/>
      <c r="AV1728" s="103"/>
      <c r="AW1728" s="104" t="str">
        <f>HYPERLINK("http://www.openstreetmap.org/?mlat=36.666&amp;mlon=42.5089&amp;zoom=12#map=12/36.666/42.5089","Maplink1")</f>
        <v>Maplink1</v>
      </c>
      <c r="AX1728" s="104" t="str">
        <f>HYPERLINK("https://www.google.iq/maps/search/+36.666,42.5089/@36.666,42.5089,14z?hl=en","Maplink2")</f>
        <v>Maplink2</v>
      </c>
      <c r="AY1728" s="104" t="str">
        <f>HYPERLINK("http://www.bing.com/maps/?lvl=14&amp;sty=h&amp;cp=36.666~42.5089&amp;sp=point.36.666_42.5089","Maplink3")</f>
        <v>Maplink3</v>
      </c>
    </row>
    <row r="1729" spans="1:51" x14ac:dyDescent="0.2">
      <c r="A1729" s="102">
        <v>33285</v>
      </c>
      <c r="B1729" s="103" t="s">
        <v>35</v>
      </c>
      <c r="C1729" s="103" t="s">
        <v>104</v>
      </c>
      <c r="D1729" s="103" t="s">
        <v>3182</v>
      </c>
      <c r="E1729" s="103" t="s">
        <v>3183</v>
      </c>
      <c r="F1729" s="103">
        <v>36.368879999999997</v>
      </c>
      <c r="G1729" s="103">
        <v>42.439180299999997</v>
      </c>
      <c r="H1729" s="102">
        <v>709</v>
      </c>
      <c r="I1729" s="102">
        <v>4254</v>
      </c>
      <c r="J1729" s="103"/>
      <c r="K1729" s="103"/>
      <c r="L1729" s="103">
        <v>30</v>
      </c>
      <c r="M1729" s="103">
        <v>659</v>
      </c>
      <c r="N1729" s="103">
        <v>20</v>
      </c>
      <c r="O1729" s="103"/>
      <c r="P1729" s="103"/>
      <c r="Q1729" s="103"/>
      <c r="R1729" s="103"/>
      <c r="S1729" s="103"/>
      <c r="T1729" s="103"/>
      <c r="U1729" s="103"/>
      <c r="V1729" s="103">
        <v>57</v>
      </c>
      <c r="W1729" s="103">
        <v>79</v>
      </c>
      <c r="X1729" s="103"/>
      <c r="Y1729" s="103"/>
      <c r="Z1729" s="103"/>
      <c r="AA1729" s="103"/>
      <c r="AB1729" s="103">
        <v>270</v>
      </c>
      <c r="AC1729" s="103"/>
      <c r="AD1729" s="103"/>
      <c r="AE1729" s="103"/>
      <c r="AF1729" s="103">
        <v>297</v>
      </c>
      <c r="AG1729" s="103"/>
      <c r="AH1729" s="103">
        <v>3</v>
      </c>
      <c r="AI1729" s="103"/>
      <c r="AJ1729" s="103"/>
      <c r="AK1729" s="103"/>
      <c r="AL1729" s="103">
        <v>3</v>
      </c>
      <c r="AM1729" s="103"/>
      <c r="AN1729" s="103">
        <v>709</v>
      </c>
      <c r="AO1729" s="103"/>
      <c r="AP1729" s="103"/>
      <c r="AQ1729" s="103"/>
      <c r="AR1729" s="103"/>
      <c r="AS1729" s="103"/>
      <c r="AT1729" s="103"/>
      <c r="AU1729" s="103"/>
      <c r="AV1729" s="103"/>
      <c r="AW1729" s="104" t="str">
        <f>HYPERLINK("http://www.openstreetmap.org/?mlat=36.3689&amp;mlon=42.4392&amp;zoom=12#map=12/36.3689/42.4392","Maplink1")</f>
        <v>Maplink1</v>
      </c>
      <c r="AX1729" s="104" t="str">
        <f>HYPERLINK("https://www.google.iq/maps/search/+36.3689,42.4392/@36.3689,42.4392,14z?hl=en","Maplink2")</f>
        <v>Maplink2</v>
      </c>
      <c r="AY1729" s="104" t="str">
        <f>HYPERLINK("http://www.bing.com/maps/?lvl=14&amp;sty=h&amp;cp=36.3689~42.4392&amp;sp=point.36.3689_42.4392","Maplink3")</f>
        <v>Maplink3</v>
      </c>
    </row>
    <row r="1730" spans="1:51" x14ac:dyDescent="0.2">
      <c r="A1730" s="102">
        <v>18289</v>
      </c>
      <c r="B1730" s="103" t="s">
        <v>35</v>
      </c>
      <c r="C1730" s="103" t="s">
        <v>104</v>
      </c>
      <c r="D1730" s="103" t="s">
        <v>3184</v>
      </c>
      <c r="E1730" s="103" t="s">
        <v>3185</v>
      </c>
      <c r="F1730" s="103">
        <v>36.490400000000001</v>
      </c>
      <c r="G1730" s="103">
        <v>42.633766055499997</v>
      </c>
      <c r="H1730" s="102">
        <v>231</v>
      </c>
      <c r="I1730" s="102">
        <v>1386</v>
      </c>
      <c r="J1730" s="103">
        <v>6</v>
      </c>
      <c r="K1730" s="103"/>
      <c r="L1730" s="103"/>
      <c r="M1730" s="103">
        <v>210</v>
      </c>
      <c r="N1730" s="103">
        <v>15</v>
      </c>
      <c r="O1730" s="103"/>
      <c r="P1730" s="103"/>
      <c r="Q1730" s="103"/>
      <c r="R1730" s="103"/>
      <c r="S1730" s="103"/>
      <c r="T1730" s="103"/>
      <c r="U1730" s="103"/>
      <c r="V1730" s="103"/>
      <c r="W1730" s="103"/>
      <c r="X1730" s="103"/>
      <c r="Y1730" s="103"/>
      <c r="Z1730" s="103"/>
      <c r="AA1730" s="103"/>
      <c r="AB1730" s="103"/>
      <c r="AC1730" s="103"/>
      <c r="AD1730" s="103"/>
      <c r="AE1730" s="103"/>
      <c r="AF1730" s="103"/>
      <c r="AG1730" s="103">
        <v>231</v>
      </c>
      <c r="AH1730" s="103"/>
      <c r="AI1730" s="103"/>
      <c r="AJ1730" s="103"/>
      <c r="AK1730" s="103"/>
      <c r="AL1730" s="103"/>
      <c r="AM1730" s="103"/>
      <c r="AN1730" s="103"/>
      <c r="AO1730" s="103"/>
      <c r="AP1730" s="103">
        <v>231</v>
      </c>
      <c r="AQ1730" s="103"/>
      <c r="AR1730" s="103"/>
      <c r="AS1730" s="103"/>
      <c r="AT1730" s="103"/>
      <c r="AU1730" s="103"/>
      <c r="AV1730" s="103"/>
      <c r="AW1730" s="104" t="str">
        <f>HYPERLINK("http://www.openstreetmap.org/?mlat=36.4904&amp;mlon=42.6338&amp;zoom=12#map=12/36.4904/42.6338","Maplink1")</f>
        <v>Maplink1</v>
      </c>
      <c r="AX1730" s="104" t="str">
        <f>HYPERLINK("https://www.google.iq/maps/search/+36.4904,42.6338/@36.4904,42.6338,14z?hl=en","Maplink2")</f>
        <v>Maplink2</v>
      </c>
      <c r="AY1730" s="104" t="str">
        <f>HYPERLINK("http://www.bing.com/maps/?lvl=14&amp;sty=h&amp;cp=36.4904~42.6338&amp;sp=point.36.4904_42.6338","Maplink3")</f>
        <v>Maplink3</v>
      </c>
    </row>
    <row r="1731" spans="1:51" x14ac:dyDescent="0.2">
      <c r="A1731" s="102">
        <v>33420</v>
      </c>
      <c r="B1731" s="103" t="s">
        <v>35</v>
      </c>
      <c r="C1731" s="103" t="s">
        <v>104</v>
      </c>
      <c r="D1731" s="103" t="s">
        <v>2890</v>
      </c>
      <c r="E1731" s="103" t="s">
        <v>2891</v>
      </c>
      <c r="F1731" s="103">
        <v>36.379491999999999</v>
      </c>
      <c r="G1731" s="103">
        <v>42.4255152</v>
      </c>
      <c r="H1731" s="102">
        <v>890</v>
      </c>
      <c r="I1731" s="102">
        <v>5340</v>
      </c>
      <c r="J1731" s="103"/>
      <c r="K1731" s="103"/>
      <c r="L1731" s="103">
        <v>10</v>
      </c>
      <c r="M1731" s="103">
        <v>880</v>
      </c>
      <c r="N1731" s="103"/>
      <c r="O1731" s="103"/>
      <c r="P1731" s="103"/>
      <c r="Q1731" s="103"/>
      <c r="R1731" s="103"/>
      <c r="S1731" s="103"/>
      <c r="T1731" s="103"/>
      <c r="U1731" s="103"/>
      <c r="V1731" s="103">
        <v>65</v>
      </c>
      <c r="W1731" s="103">
        <v>75</v>
      </c>
      <c r="X1731" s="103"/>
      <c r="Y1731" s="103"/>
      <c r="Z1731" s="103"/>
      <c r="AA1731" s="103"/>
      <c r="AB1731" s="103">
        <v>135</v>
      </c>
      <c r="AC1731" s="103"/>
      <c r="AD1731" s="103"/>
      <c r="AE1731" s="103"/>
      <c r="AF1731" s="103">
        <v>543</v>
      </c>
      <c r="AG1731" s="103"/>
      <c r="AH1731" s="103"/>
      <c r="AI1731" s="103"/>
      <c r="AJ1731" s="103"/>
      <c r="AK1731" s="103">
        <v>2</v>
      </c>
      <c r="AL1731" s="103">
        <v>70</v>
      </c>
      <c r="AM1731" s="103"/>
      <c r="AN1731" s="103">
        <v>890</v>
      </c>
      <c r="AO1731" s="103"/>
      <c r="AP1731" s="103"/>
      <c r="AQ1731" s="103"/>
      <c r="AR1731" s="103"/>
      <c r="AS1731" s="103"/>
      <c r="AT1731" s="103"/>
      <c r="AU1731" s="103"/>
      <c r="AV1731" s="103"/>
      <c r="AW1731" s="104" t="str">
        <f>HYPERLINK("http://www.openstreetmap.org/?mlat=36.3795&amp;mlon=42.4255&amp;zoom=12#map=12/36.3795/42.4255","Maplink1")</f>
        <v>Maplink1</v>
      </c>
      <c r="AX1731" s="104" t="str">
        <f>HYPERLINK("https://www.google.iq/maps/search/+36.3795,42.4255/@36.3795,42.4255,14z?hl=en","Maplink2")</f>
        <v>Maplink2</v>
      </c>
      <c r="AY1731" s="104" t="str">
        <f>HYPERLINK("http://www.bing.com/maps/?lvl=14&amp;sty=h&amp;cp=36.3795~42.4255&amp;sp=point.36.3795_42.4255","Maplink3")</f>
        <v>Maplink3</v>
      </c>
    </row>
    <row r="1732" spans="1:51" x14ac:dyDescent="0.2">
      <c r="A1732" s="102">
        <v>17433</v>
      </c>
      <c r="B1732" s="103" t="s">
        <v>35</v>
      </c>
      <c r="C1732" s="103" t="s">
        <v>104</v>
      </c>
      <c r="D1732" s="103" t="s">
        <v>3107</v>
      </c>
      <c r="E1732" s="103" t="s">
        <v>3108</v>
      </c>
      <c r="F1732" s="103">
        <v>36.449829000000001</v>
      </c>
      <c r="G1732" s="103">
        <v>42.665387000000003</v>
      </c>
      <c r="H1732" s="102">
        <v>330</v>
      </c>
      <c r="I1732" s="102">
        <v>1980</v>
      </c>
      <c r="J1732" s="103"/>
      <c r="K1732" s="103"/>
      <c r="L1732" s="103">
        <v>2</v>
      </c>
      <c r="M1732" s="103">
        <v>323</v>
      </c>
      <c r="N1732" s="103">
        <v>5</v>
      </c>
      <c r="O1732" s="103"/>
      <c r="P1732" s="103"/>
      <c r="Q1732" s="103"/>
      <c r="R1732" s="103"/>
      <c r="S1732" s="103"/>
      <c r="T1732" s="103"/>
      <c r="U1732" s="103"/>
      <c r="V1732" s="103"/>
      <c r="W1732" s="103"/>
      <c r="X1732" s="103"/>
      <c r="Y1732" s="103"/>
      <c r="Z1732" s="103"/>
      <c r="AA1732" s="103"/>
      <c r="AB1732" s="103"/>
      <c r="AC1732" s="103"/>
      <c r="AD1732" s="103"/>
      <c r="AE1732" s="103"/>
      <c r="AF1732" s="103"/>
      <c r="AG1732" s="103">
        <v>330</v>
      </c>
      <c r="AH1732" s="103"/>
      <c r="AI1732" s="103"/>
      <c r="AJ1732" s="103"/>
      <c r="AK1732" s="103"/>
      <c r="AL1732" s="103"/>
      <c r="AM1732" s="103"/>
      <c r="AN1732" s="103"/>
      <c r="AO1732" s="103"/>
      <c r="AP1732" s="103"/>
      <c r="AQ1732" s="103"/>
      <c r="AR1732" s="103"/>
      <c r="AS1732" s="103"/>
      <c r="AT1732" s="103">
        <v>330</v>
      </c>
      <c r="AU1732" s="103"/>
      <c r="AV1732" s="103"/>
      <c r="AW1732" s="104" t="str">
        <f>HYPERLINK("http://www.openstreetmap.org/?mlat=36.4498&amp;mlon=42.6654&amp;zoom=12#map=12/36.4498/42.6654","Maplink1")</f>
        <v>Maplink1</v>
      </c>
      <c r="AX1732" s="104" t="str">
        <f>HYPERLINK("https://www.google.iq/maps/search/+36.4498,42.6654/@36.4498,42.6654,14z?hl=en","Maplink2")</f>
        <v>Maplink2</v>
      </c>
      <c r="AY1732" s="104" t="str">
        <f>HYPERLINK("http://www.bing.com/maps/?lvl=14&amp;sty=h&amp;cp=36.4498~42.6654&amp;sp=point.36.4498_42.6654","Maplink3")</f>
        <v>Maplink3</v>
      </c>
    </row>
    <row r="1733" spans="1:51" x14ac:dyDescent="0.2">
      <c r="A1733" s="102">
        <v>25893</v>
      </c>
      <c r="B1733" s="103" t="s">
        <v>35</v>
      </c>
      <c r="C1733" s="103" t="s">
        <v>104</v>
      </c>
      <c r="D1733" s="103" t="s">
        <v>3109</v>
      </c>
      <c r="E1733" s="103" t="s">
        <v>3110</v>
      </c>
      <c r="F1733" s="103">
        <v>36.764900813600001</v>
      </c>
      <c r="G1733" s="103">
        <v>42.064811457300003</v>
      </c>
      <c r="H1733" s="102">
        <v>420</v>
      </c>
      <c r="I1733" s="102">
        <v>2520</v>
      </c>
      <c r="J1733" s="103"/>
      <c r="K1733" s="103"/>
      <c r="L1733" s="103"/>
      <c r="M1733" s="103">
        <v>420</v>
      </c>
      <c r="N1733" s="103"/>
      <c r="O1733" s="103"/>
      <c r="P1733" s="103"/>
      <c r="Q1733" s="103"/>
      <c r="R1733" s="103"/>
      <c r="S1733" s="103"/>
      <c r="T1733" s="103"/>
      <c r="U1733" s="103"/>
      <c r="V1733" s="103"/>
      <c r="W1733" s="103"/>
      <c r="X1733" s="103"/>
      <c r="Y1733" s="103"/>
      <c r="Z1733" s="103"/>
      <c r="AA1733" s="103"/>
      <c r="AB1733" s="103"/>
      <c r="AC1733" s="103"/>
      <c r="AD1733" s="103"/>
      <c r="AE1733" s="103"/>
      <c r="AF1733" s="103"/>
      <c r="AG1733" s="103">
        <v>420</v>
      </c>
      <c r="AH1733" s="103"/>
      <c r="AI1733" s="103"/>
      <c r="AJ1733" s="103"/>
      <c r="AK1733" s="103"/>
      <c r="AL1733" s="103"/>
      <c r="AM1733" s="103"/>
      <c r="AN1733" s="103"/>
      <c r="AO1733" s="103">
        <v>420</v>
      </c>
      <c r="AP1733" s="103"/>
      <c r="AQ1733" s="103"/>
      <c r="AR1733" s="103"/>
      <c r="AS1733" s="103"/>
      <c r="AT1733" s="103"/>
      <c r="AU1733" s="103"/>
      <c r="AV1733" s="103"/>
      <c r="AW1733" s="104" t="str">
        <f>HYPERLINK("http://www.openstreetmap.org/?mlat=36.7649&amp;mlon=42.0648&amp;zoom=12#map=12/36.7649/42.0648","Maplink1")</f>
        <v>Maplink1</v>
      </c>
      <c r="AX1733" s="104" t="str">
        <f>HYPERLINK("https://www.google.iq/maps/search/+36.7649,42.0648/@36.7649,42.0648,14z?hl=en","Maplink2")</f>
        <v>Maplink2</v>
      </c>
      <c r="AY1733" s="104" t="str">
        <f>HYPERLINK("http://www.bing.com/maps/?lvl=14&amp;sty=h&amp;cp=36.7649~42.0648&amp;sp=point.36.7649_42.0648","Maplink3")</f>
        <v>Maplink3</v>
      </c>
    </row>
    <row r="1734" spans="1:51" x14ac:dyDescent="0.2">
      <c r="A1734" s="102">
        <v>33172</v>
      </c>
      <c r="B1734" s="103" t="s">
        <v>35</v>
      </c>
      <c r="C1734" s="103" t="s">
        <v>104</v>
      </c>
      <c r="D1734" s="103" t="s">
        <v>3111</v>
      </c>
      <c r="E1734" s="103" t="s">
        <v>3112</v>
      </c>
      <c r="F1734" s="103">
        <v>36.439692000000001</v>
      </c>
      <c r="G1734" s="103">
        <v>42.637922099999997</v>
      </c>
      <c r="H1734" s="102">
        <v>161</v>
      </c>
      <c r="I1734" s="102">
        <v>966</v>
      </c>
      <c r="J1734" s="103"/>
      <c r="K1734" s="103"/>
      <c r="L1734" s="103"/>
      <c r="M1734" s="103">
        <v>161</v>
      </c>
      <c r="N1734" s="103"/>
      <c r="O1734" s="103"/>
      <c r="P1734" s="103"/>
      <c r="Q1734" s="103"/>
      <c r="R1734" s="103"/>
      <c r="S1734" s="103"/>
      <c r="T1734" s="103"/>
      <c r="U1734" s="103"/>
      <c r="V1734" s="103"/>
      <c r="W1734" s="103"/>
      <c r="X1734" s="103"/>
      <c r="Y1734" s="103"/>
      <c r="Z1734" s="103"/>
      <c r="AA1734" s="103"/>
      <c r="AB1734" s="103"/>
      <c r="AC1734" s="103"/>
      <c r="AD1734" s="103"/>
      <c r="AE1734" s="103"/>
      <c r="AF1734" s="103"/>
      <c r="AG1734" s="103">
        <v>161</v>
      </c>
      <c r="AH1734" s="103"/>
      <c r="AI1734" s="103"/>
      <c r="AJ1734" s="103"/>
      <c r="AK1734" s="103"/>
      <c r="AL1734" s="103"/>
      <c r="AM1734" s="103"/>
      <c r="AN1734" s="103"/>
      <c r="AO1734" s="103"/>
      <c r="AP1734" s="103"/>
      <c r="AQ1734" s="103"/>
      <c r="AR1734" s="103"/>
      <c r="AS1734" s="103"/>
      <c r="AT1734" s="103">
        <v>161</v>
      </c>
      <c r="AU1734" s="103"/>
      <c r="AV1734" s="103"/>
      <c r="AW1734" s="104" t="str">
        <f>HYPERLINK("http://www.openstreetmap.org/?mlat=36.4397&amp;mlon=42.6379&amp;zoom=12#map=12/36.4397/42.6379","Maplink1")</f>
        <v>Maplink1</v>
      </c>
      <c r="AX1734" s="104" t="str">
        <f>HYPERLINK("https://www.google.iq/maps/search/+36.4397,42.6379/@36.4397,42.6379,14z?hl=en","Maplink2")</f>
        <v>Maplink2</v>
      </c>
      <c r="AY1734" s="104" t="str">
        <f>HYPERLINK("http://www.bing.com/maps/?lvl=14&amp;sty=h&amp;cp=36.4397~42.6379&amp;sp=point.36.4397_42.6379","Maplink3")</f>
        <v>Maplink3</v>
      </c>
    </row>
    <row r="1735" spans="1:51" x14ac:dyDescent="0.2">
      <c r="A1735" s="102">
        <v>33275</v>
      </c>
      <c r="B1735" s="103" t="s">
        <v>35</v>
      </c>
      <c r="C1735" s="103" t="s">
        <v>104</v>
      </c>
      <c r="D1735" s="103" t="s">
        <v>3113</v>
      </c>
      <c r="E1735" s="103" t="s">
        <v>3114</v>
      </c>
      <c r="F1735" s="103">
        <v>36.363750000000003</v>
      </c>
      <c r="G1735" s="103">
        <v>42.457095000000002</v>
      </c>
      <c r="H1735" s="102">
        <v>1638</v>
      </c>
      <c r="I1735" s="102">
        <v>9828</v>
      </c>
      <c r="J1735" s="103">
        <v>7</v>
      </c>
      <c r="K1735" s="103"/>
      <c r="L1735" s="103">
        <v>25</v>
      </c>
      <c r="M1735" s="103">
        <v>1606</v>
      </c>
      <c r="N1735" s="103"/>
      <c r="O1735" s="103"/>
      <c r="P1735" s="103"/>
      <c r="Q1735" s="103"/>
      <c r="R1735" s="103"/>
      <c r="S1735" s="103"/>
      <c r="T1735" s="103"/>
      <c r="U1735" s="103"/>
      <c r="V1735" s="103">
        <v>179</v>
      </c>
      <c r="W1735" s="103">
        <v>172</v>
      </c>
      <c r="X1735" s="103">
        <v>10</v>
      </c>
      <c r="Y1735" s="103">
        <v>5</v>
      </c>
      <c r="Z1735" s="103"/>
      <c r="AA1735" s="103">
        <v>10</v>
      </c>
      <c r="AB1735" s="103">
        <v>511</v>
      </c>
      <c r="AC1735" s="103">
        <v>49</v>
      </c>
      <c r="AD1735" s="103"/>
      <c r="AE1735" s="103">
        <v>2</v>
      </c>
      <c r="AF1735" s="103">
        <v>604</v>
      </c>
      <c r="AG1735" s="103">
        <v>10</v>
      </c>
      <c r="AH1735" s="103">
        <v>2</v>
      </c>
      <c r="AI1735" s="103"/>
      <c r="AJ1735" s="103">
        <v>3</v>
      </c>
      <c r="AK1735" s="103"/>
      <c r="AL1735" s="103">
        <v>81</v>
      </c>
      <c r="AM1735" s="103"/>
      <c r="AN1735" s="103">
        <v>1638</v>
      </c>
      <c r="AO1735" s="103"/>
      <c r="AP1735" s="103"/>
      <c r="AQ1735" s="103"/>
      <c r="AR1735" s="103"/>
      <c r="AS1735" s="103"/>
      <c r="AT1735" s="103"/>
      <c r="AU1735" s="103"/>
      <c r="AV1735" s="103"/>
      <c r="AW1735" s="104" t="str">
        <f>HYPERLINK("http://www.openstreetmap.org/?mlat=36.3638&amp;mlon=42.4571&amp;zoom=12#map=12/36.3638/42.4571","Maplink1")</f>
        <v>Maplink1</v>
      </c>
      <c r="AX1735" s="104" t="str">
        <f>HYPERLINK("https://www.google.iq/maps/search/+36.3638,42.4571/@36.3638,42.4571,14z?hl=en","Maplink2")</f>
        <v>Maplink2</v>
      </c>
      <c r="AY1735" s="104" t="str">
        <f>HYPERLINK("http://www.bing.com/maps/?lvl=14&amp;sty=h&amp;cp=36.3638~42.4571&amp;sp=point.36.3638_42.4571","Maplink3")</f>
        <v>Maplink3</v>
      </c>
    </row>
    <row r="1736" spans="1:51" x14ac:dyDescent="0.2">
      <c r="A1736" s="102">
        <v>25944</v>
      </c>
      <c r="B1736" s="103" t="s">
        <v>35</v>
      </c>
      <c r="C1736" s="103" t="s">
        <v>104</v>
      </c>
      <c r="D1736" s="103" t="s">
        <v>3137</v>
      </c>
      <c r="E1736" s="103" t="s">
        <v>3138</v>
      </c>
      <c r="F1736" s="103">
        <v>36.655997570399997</v>
      </c>
      <c r="G1736" s="103">
        <v>42.5980133829</v>
      </c>
      <c r="H1736" s="102">
        <v>4150</v>
      </c>
      <c r="I1736" s="102">
        <v>24900</v>
      </c>
      <c r="J1736" s="103"/>
      <c r="K1736" s="103"/>
      <c r="L1736" s="103"/>
      <c r="M1736" s="103">
        <v>3950</v>
      </c>
      <c r="N1736" s="103">
        <v>200</v>
      </c>
      <c r="O1736" s="103"/>
      <c r="P1736" s="103"/>
      <c r="Q1736" s="103"/>
      <c r="R1736" s="103"/>
      <c r="S1736" s="103"/>
      <c r="T1736" s="103"/>
      <c r="U1736" s="103"/>
      <c r="V1736" s="103"/>
      <c r="W1736" s="103"/>
      <c r="X1736" s="103"/>
      <c r="Y1736" s="103">
        <v>950</v>
      </c>
      <c r="Z1736" s="103"/>
      <c r="AA1736" s="103"/>
      <c r="AB1736" s="103"/>
      <c r="AC1736" s="103"/>
      <c r="AD1736" s="103"/>
      <c r="AE1736" s="103"/>
      <c r="AF1736" s="103"/>
      <c r="AG1736" s="103">
        <v>3200</v>
      </c>
      <c r="AH1736" s="103"/>
      <c r="AI1736" s="103"/>
      <c r="AJ1736" s="103"/>
      <c r="AK1736" s="103"/>
      <c r="AL1736" s="103"/>
      <c r="AM1736" s="103"/>
      <c r="AN1736" s="103"/>
      <c r="AO1736" s="103">
        <v>4150</v>
      </c>
      <c r="AP1736" s="103"/>
      <c r="AQ1736" s="103"/>
      <c r="AR1736" s="103"/>
      <c r="AS1736" s="103"/>
      <c r="AT1736" s="103"/>
      <c r="AU1736" s="103"/>
      <c r="AV1736" s="103"/>
      <c r="AW1736" s="104" t="str">
        <f>HYPERLINK("http://www.openstreetmap.org/?mlat=36.656&amp;mlon=42.598&amp;zoom=12#map=12/36.656/42.598","Maplink1")</f>
        <v>Maplink1</v>
      </c>
      <c r="AX1736" s="104" t="str">
        <f>HYPERLINK("https://www.google.iq/maps/search/+36.656,42.598/@36.656,42.598,14z?hl=en","Maplink2")</f>
        <v>Maplink2</v>
      </c>
      <c r="AY1736" s="104" t="str">
        <f>HYPERLINK("http://www.bing.com/maps/?lvl=14&amp;sty=h&amp;cp=36.656~42.598&amp;sp=point.36.656_42.598","Maplink3")</f>
        <v>Maplink3</v>
      </c>
    </row>
    <row r="1737" spans="1:51" x14ac:dyDescent="0.2">
      <c r="A1737" s="102">
        <v>25695</v>
      </c>
      <c r="B1737" s="103" t="s">
        <v>35</v>
      </c>
      <c r="C1737" s="103" t="s">
        <v>104</v>
      </c>
      <c r="D1737" s="103" t="s">
        <v>3139</v>
      </c>
      <c r="E1737" s="103" t="s">
        <v>3140</v>
      </c>
      <c r="F1737" s="103">
        <v>36.688234970700002</v>
      </c>
      <c r="G1737" s="103">
        <v>42.595594372500003</v>
      </c>
      <c r="H1737" s="102">
        <v>875</v>
      </c>
      <c r="I1737" s="102">
        <v>5250</v>
      </c>
      <c r="J1737" s="103"/>
      <c r="K1737" s="103"/>
      <c r="L1737" s="103"/>
      <c r="M1737" s="103">
        <v>875</v>
      </c>
      <c r="N1737" s="103"/>
      <c r="O1737" s="103"/>
      <c r="P1737" s="103"/>
      <c r="Q1737" s="103"/>
      <c r="R1737" s="103"/>
      <c r="S1737" s="103"/>
      <c r="T1737" s="103"/>
      <c r="U1737" s="103"/>
      <c r="V1737" s="103"/>
      <c r="W1737" s="103"/>
      <c r="X1737" s="103"/>
      <c r="Y1737" s="103">
        <v>875</v>
      </c>
      <c r="Z1737" s="103"/>
      <c r="AA1737" s="103"/>
      <c r="AB1737" s="103"/>
      <c r="AC1737" s="103"/>
      <c r="AD1737" s="103"/>
      <c r="AE1737" s="103"/>
      <c r="AF1737" s="103"/>
      <c r="AG1737" s="103"/>
      <c r="AH1737" s="103"/>
      <c r="AI1737" s="103"/>
      <c r="AJ1737" s="103"/>
      <c r="AK1737" s="103"/>
      <c r="AL1737" s="103"/>
      <c r="AM1737" s="103"/>
      <c r="AN1737" s="103"/>
      <c r="AO1737" s="103">
        <v>850</v>
      </c>
      <c r="AP1737" s="103"/>
      <c r="AQ1737" s="103"/>
      <c r="AR1737" s="103"/>
      <c r="AS1737" s="103"/>
      <c r="AT1737" s="103">
        <v>25</v>
      </c>
      <c r="AU1737" s="103"/>
      <c r="AV1737" s="103"/>
      <c r="AW1737" s="104" t="str">
        <f>HYPERLINK("http://www.openstreetmap.org/?mlat=36.6882&amp;mlon=42.5956&amp;zoom=12#map=12/36.6882/42.5956","Maplink1")</f>
        <v>Maplink1</v>
      </c>
      <c r="AX1737" s="104" t="str">
        <f>HYPERLINK("https://www.google.iq/maps/search/+36.6882,42.5956/@36.6882,42.5956,14z?hl=en","Maplink2")</f>
        <v>Maplink2</v>
      </c>
      <c r="AY1737" s="104" t="str">
        <f>HYPERLINK("http://www.bing.com/maps/?lvl=14&amp;sty=h&amp;cp=36.6882~42.5956&amp;sp=point.36.6882_42.5956","Maplink3")</f>
        <v>Maplink3</v>
      </c>
    </row>
    <row r="1738" spans="1:51" x14ac:dyDescent="0.2">
      <c r="A1738" s="102">
        <v>28438</v>
      </c>
      <c r="B1738" s="103" t="s">
        <v>35</v>
      </c>
      <c r="C1738" s="103" t="s">
        <v>104</v>
      </c>
      <c r="D1738" s="103" t="s">
        <v>3141</v>
      </c>
      <c r="E1738" s="103" t="s">
        <v>3142</v>
      </c>
      <c r="F1738" s="103">
        <v>36.793951484899999</v>
      </c>
      <c r="G1738" s="103">
        <v>42.1772325194</v>
      </c>
      <c r="H1738" s="102">
        <v>312</v>
      </c>
      <c r="I1738" s="102">
        <v>1872</v>
      </c>
      <c r="J1738" s="103"/>
      <c r="K1738" s="103"/>
      <c r="L1738" s="103"/>
      <c r="M1738" s="103">
        <v>312</v>
      </c>
      <c r="N1738" s="103"/>
      <c r="O1738" s="103"/>
      <c r="P1738" s="103"/>
      <c r="Q1738" s="103"/>
      <c r="R1738" s="103"/>
      <c r="S1738" s="103"/>
      <c r="T1738" s="103"/>
      <c r="U1738" s="103"/>
      <c r="V1738" s="103"/>
      <c r="W1738" s="103"/>
      <c r="X1738" s="103"/>
      <c r="Y1738" s="103"/>
      <c r="Z1738" s="103"/>
      <c r="AA1738" s="103"/>
      <c r="AB1738" s="103"/>
      <c r="AC1738" s="103"/>
      <c r="AD1738" s="103"/>
      <c r="AE1738" s="103"/>
      <c r="AF1738" s="103"/>
      <c r="AG1738" s="103">
        <v>312</v>
      </c>
      <c r="AH1738" s="103"/>
      <c r="AI1738" s="103"/>
      <c r="AJ1738" s="103"/>
      <c r="AK1738" s="103"/>
      <c r="AL1738" s="103"/>
      <c r="AM1738" s="103"/>
      <c r="AN1738" s="103"/>
      <c r="AO1738" s="103">
        <v>312</v>
      </c>
      <c r="AP1738" s="103"/>
      <c r="AQ1738" s="103"/>
      <c r="AR1738" s="103"/>
      <c r="AS1738" s="103"/>
      <c r="AT1738" s="103"/>
      <c r="AU1738" s="103"/>
      <c r="AV1738" s="103"/>
      <c r="AW1738" s="104" t="str">
        <f>HYPERLINK("http://www.openstreetmap.org/?mlat=36.794&amp;mlon=42.1772&amp;zoom=12#map=12/36.794/42.1772","Maplink1")</f>
        <v>Maplink1</v>
      </c>
      <c r="AX1738" s="104" t="str">
        <f>HYPERLINK("https://www.google.iq/maps/search/+36.794,42.1772/@36.794,42.1772,14z?hl=en","Maplink2")</f>
        <v>Maplink2</v>
      </c>
      <c r="AY1738" s="104" t="str">
        <f>HYPERLINK("http://www.bing.com/maps/?lvl=14&amp;sty=h&amp;cp=36.794~42.1772&amp;sp=point.36.794_42.1772","Maplink3")</f>
        <v>Maplink3</v>
      </c>
    </row>
    <row r="1739" spans="1:51" x14ac:dyDescent="0.2">
      <c r="A1739" s="102">
        <v>17803</v>
      </c>
      <c r="B1739" s="103" t="s">
        <v>35</v>
      </c>
      <c r="C1739" s="103" t="s">
        <v>104</v>
      </c>
      <c r="D1739" s="103" t="s">
        <v>3143</v>
      </c>
      <c r="E1739" s="103" t="s">
        <v>3144</v>
      </c>
      <c r="F1739" s="103">
        <v>36.680700000000002</v>
      </c>
      <c r="G1739" s="103">
        <v>42.514856983100003</v>
      </c>
      <c r="H1739" s="102">
        <v>225</v>
      </c>
      <c r="I1739" s="102">
        <v>1350</v>
      </c>
      <c r="J1739" s="103"/>
      <c r="K1739" s="103"/>
      <c r="L1739" s="103"/>
      <c r="M1739" s="103">
        <v>175</v>
      </c>
      <c r="N1739" s="103">
        <v>50</v>
      </c>
      <c r="O1739" s="103"/>
      <c r="P1739" s="103"/>
      <c r="Q1739" s="103"/>
      <c r="R1739" s="103"/>
      <c r="S1739" s="103"/>
      <c r="T1739" s="103"/>
      <c r="U1739" s="103"/>
      <c r="V1739" s="103"/>
      <c r="W1739" s="103"/>
      <c r="X1739" s="103"/>
      <c r="Y1739" s="103"/>
      <c r="Z1739" s="103"/>
      <c r="AA1739" s="103"/>
      <c r="AB1739" s="103"/>
      <c r="AC1739" s="103"/>
      <c r="AD1739" s="103"/>
      <c r="AE1739" s="103"/>
      <c r="AF1739" s="103"/>
      <c r="AG1739" s="103">
        <v>225</v>
      </c>
      <c r="AH1739" s="103"/>
      <c r="AI1739" s="103"/>
      <c r="AJ1739" s="103"/>
      <c r="AK1739" s="103"/>
      <c r="AL1739" s="103"/>
      <c r="AM1739" s="103"/>
      <c r="AN1739" s="103"/>
      <c r="AO1739" s="103">
        <v>225</v>
      </c>
      <c r="AP1739" s="103"/>
      <c r="AQ1739" s="103"/>
      <c r="AR1739" s="103"/>
      <c r="AS1739" s="103"/>
      <c r="AT1739" s="103"/>
      <c r="AU1739" s="103"/>
      <c r="AV1739" s="103"/>
      <c r="AW1739" s="104" t="str">
        <f>HYPERLINK("http://www.openstreetmap.org/?mlat=36.6807&amp;mlon=42.5149&amp;zoom=12#map=12/36.6807/42.5149","Maplink1")</f>
        <v>Maplink1</v>
      </c>
      <c r="AX1739" s="104" t="str">
        <f>HYPERLINK("https://www.google.iq/maps/search/+36.6807,42.5149/@36.6807,42.5149,14z?hl=en","Maplink2")</f>
        <v>Maplink2</v>
      </c>
      <c r="AY1739" s="104" t="str">
        <f>HYPERLINK("http://www.bing.com/maps/?lvl=14&amp;sty=h&amp;cp=36.6807~42.5149&amp;sp=point.36.6807_42.5149","Maplink3")</f>
        <v>Maplink3</v>
      </c>
    </row>
    <row r="1740" spans="1:51" x14ac:dyDescent="0.2">
      <c r="A1740" s="102">
        <v>18250</v>
      </c>
      <c r="B1740" s="103" t="s">
        <v>35</v>
      </c>
      <c r="C1740" s="103" t="s">
        <v>104</v>
      </c>
      <c r="D1740" s="103" t="s">
        <v>3101</v>
      </c>
      <c r="E1740" s="103" t="s">
        <v>3102</v>
      </c>
      <c r="F1740" s="103">
        <v>36.491799999999998</v>
      </c>
      <c r="G1740" s="103">
        <v>42.664438208</v>
      </c>
      <c r="H1740" s="102">
        <v>172</v>
      </c>
      <c r="I1740" s="102">
        <v>1032</v>
      </c>
      <c r="J1740" s="103"/>
      <c r="K1740" s="103"/>
      <c r="L1740" s="103"/>
      <c r="M1740" s="103">
        <v>172</v>
      </c>
      <c r="N1740" s="103"/>
      <c r="O1740" s="103"/>
      <c r="P1740" s="103"/>
      <c r="Q1740" s="103"/>
      <c r="R1740" s="103"/>
      <c r="S1740" s="103"/>
      <c r="T1740" s="103"/>
      <c r="U1740" s="103"/>
      <c r="V1740" s="103"/>
      <c r="W1740" s="103"/>
      <c r="X1740" s="103"/>
      <c r="Y1740" s="103"/>
      <c r="Z1740" s="103"/>
      <c r="AA1740" s="103"/>
      <c r="AB1740" s="103"/>
      <c r="AC1740" s="103"/>
      <c r="AD1740" s="103"/>
      <c r="AE1740" s="103"/>
      <c r="AF1740" s="103"/>
      <c r="AG1740" s="103">
        <v>172</v>
      </c>
      <c r="AH1740" s="103"/>
      <c r="AI1740" s="103"/>
      <c r="AJ1740" s="103"/>
      <c r="AK1740" s="103"/>
      <c r="AL1740" s="103"/>
      <c r="AM1740" s="103"/>
      <c r="AN1740" s="103"/>
      <c r="AO1740" s="103"/>
      <c r="AP1740" s="103">
        <v>172</v>
      </c>
      <c r="AQ1740" s="103"/>
      <c r="AR1740" s="103"/>
      <c r="AS1740" s="103"/>
      <c r="AT1740" s="103"/>
      <c r="AU1740" s="103"/>
      <c r="AV1740" s="103"/>
      <c r="AW1740" s="104" t="str">
        <f>HYPERLINK("http://www.openstreetmap.org/?mlat=36.4918&amp;mlon=42.6644&amp;zoom=12#map=12/36.4918/42.6644","Maplink1")</f>
        <v>Maplink1</v>
      </c>
      <c r="AX1740" s="104" t="str">
        <f>HYPERLINK("https://www.google.iq/maps/search/+36.4918,42.6644/@36.4918,42.6644,14z?hl=en","Maplink2")</f>
        <v>Maplink2</v>
      </c>
      <c r="AY1740" s="104" t="str">
        <f>HYPERLINK("http://www.bing.com/maps/?lvl=14&amp;sty=h&amp;cp=36.4918~42.6644&amp;sp=point.36.4918_42.6644","Maplink3")</f>
        <v>Maplink3</v>
      </c>
    </row>
    <row r="1741" spans="1:51" x14ac:dyDescent="0.2">
      <c r="A1741" s="102">
        <v>33213</v>
      </c>
      <c r="B1741" s="103" t="s">
        <v>35</v>
      </c>
      <c r="C1741" s="103" t="s">
        <v>104</v>
      </c>
      <c r="D1741" s="103" t="s">
        <v>3103</v>
      </c>
      <c r="E1741" s="103" t="s">
        <v>3104</v>
      </c>
      <c r="F1741" s="103">
        <v>36.690219999999997</v>
      </c>
      <c r="G1741" s="103">
        <v>42.683773758000001</v>
      </c>
      <c r="H1741" s="102">
        <v>56</v>
      </c>
      <c r="I1741" s="102">
        <v>336</v>
      </c>
      <c r="J1741" s="103"/>
      <c r="K1741" s="103"/>
      <c r="L1741" s="103"/>
      <c r="M1741" s="103">
        <v>56</v>
      </c>
      <c r="N1741" s="103"/>
      <c r="O1741" s="103"/>
      <c r="P1741" s="103"/>
      <c r="Q1741" s="103"/>
      <c r="R1741" s="103"/>
      <c r="S1741" s="103"/>
      <c r="T1741" s="103"/>
      <c r="U1741" s="103"/>
      <c r="V1741" s="103"/>
      <c r="W1741" s="103"/>
      <c r="X1741" s="103"/>
      <c r="Y1741" s="103"/>
      <c r="Z1741" s="103"/>
      <c r="AA1741" s="103"/>
      <c r="AB1741" s="103"/>
      <c r="AC1741" s="103"/>
      <c r="AD1741" s="103"/>
      <c r="AE1741" s="103"/>
      <c r="AF1741" s="103"/>
      <c r="AG1741" s="103">
        <v>56</v>
      </c>
      <c r="AH1741" s="103"/>
      <c r="AI1741" s="103"/>
      <c r="AJ1741" s="103"/>
      <c r="AK1741" s="103"/>
      <c r="AL1741" s="103"/>
      <c r="AM1741" s="103"/>
      <c r="AN1741" s="103"/>
      <c r="AO1741" s="103">
        <v>56</v>
      </c>
      <c r="AP1741" s="103"/>
      <c r="AQ1741" s="103"/>
      <c r="AR1741" s="103"/>
      <c r="AS1741" s="103"/>
      <c r="AT1741" s="103"/>
      <c r="AU1741" s="103"/>
      <c r="AV1741" s="103"/>
      <c r="AW1741" s="104" t="str">
        <f>HYPERLINK("http://www.openstreetmap.org/?mlat=36.6902&amp;mlon=42.6838&amp;zoom=12#map=12/36.6902/42.6838","Maplink1")</f>
        <v>Maplink1</v>
      </c>
      <c r="AX1741" s="104" t="str">
        <f>HYPERLINK("https://www.google.iq/maps/search/+36.6902,42.6838/@36.6902,42.6838,14z?hl=en","Maplink2")</f>
        <v>Maplink2</v>
      </c>
      <c r="AY1741" s="104" t="str">
        <f>HYPERLINK("http://www.bing.com/maps/?lvl=14&amp;sty=h&amp;cp=36.6902~42.6838&amp;sp=point.36.6902_42.6838","Maplink3")</f>
        <v>Maplink3</v>
      </c>
    </row>
    <row r="1742" spans="1:51" x14ac:dyDescent="0.2">
      <c r="A1742" s="102">
        <v>33283</v>
      </c>
      <c r="B1742" s="103" t="s">
        <v>35</v>
      </c>
      <c r="C1742" s="103" t="s">
        <v>104</v>
      </c>
      <c r="D1742" s="103" t="s">
        <v>3105</v>
      </c>
      <c r="E1742" s="103" t="s">
        <v>3106</v>
      </c>
      <c r="F1742" s="103">
        <v>36.369840000000003</v>
      </c>
      <c r="G1742" s="103">
        <v>42.438153999999997</v>
      </c>
      <c r="H1742" s="102">
        <v>490</v>
      </c>
      <c r="I1742" s="102">
        <v>2940</v>
      </c>
      <c r="J1742" s="103"/>
      <c r="K1742" s="103"/>
      <c r="L1742" s="103"/>
      <c r="M1742" s="103">
        <v>490</v>
      </c>
      <c r="N1742" s="103"/>
      <c r="O1742" s="103"/>
      <c r="P1742" s="103"/>
      <c r="Q1742" s="103"/>
      <c r="R1742" s="103"/>
      <c r="S1742" s="103"/>
      <c r="T1742" s="103"/>
      <c r="U1742" s="103"/>
      <c r="V1742" s="103">
        <v>60</v>
      </c>
      <c r="W1742" s="103">
        <v>49</v>
      </c>
      <c r="X1742" s="103"/>
      <c r="Y1742" s="103"/>
      <c r="Z1742" s="103"/>
      <c r="AA1742" s="103"/>
      <c r="AB1742" s="103">
        <v>87</v>
      </c>
      <c r="AC1742" s="103"/>
      <c r="AD1742" s="103"/>
      <c r="AE1742" s="103"/>
      <c r="AF1742" s="103">
        <v>291</v>
      </c>
      <c r="AG1742" s="103"/>
      <c r="AH1742" s="103"/>
      <c r="AI1742" s="103"/>
      <c r="AJ1742" s="103"/>
      <c r="AK1742" s="103"/>
      <c r="AL1742" s="103">
        <v>3</v>
      </c>
      <c r="AM1742" s="103"/>
      <c r="AN1742" s="103">
        <v>490</v>
      </c>
      <c r="AO1742" s="103"/>
      <c r="AP1742" s="103"/>
      <c r="AQ1742" s="103"/>
      <c r="AR1742" s="103"/>
      <c r="AS1742" s="103"/>
      <c r="AT1742" s="103"/>
      <c r="AU1742" s="103"/>
      <c r="AV1742" s="103"/>
      <c r="AW1742" s="104" t="str">
        <f>HYPERLINK("http://www.openstreetmap.org/?mlat=36.3698&amp;mlon=42.4382&amp;zoom=12#map=12/36.3698/42.4382","Maplink1")</f>
        <v>Maplink1</v>
      </c>
      <c r="AX1742" s="104" t="str">
        <f>HYPERLINK("https://www.google.iq/maps/search/+36.3698,42.4382/@36.3698,42.4382,14z?hl=en","Maplink2")</f>
        <v>Maplink2</v>
      </c>
      <c r="AY1742" s="104" t="str">
        <f>HYPERLINK("http://www.bing.com/maps/?lvl=14&amp;sty=h&amp;cp=36.3698~42.4382&amp;sp=point.36.3698_42.4382","Maplink3")</f>
        <v>Maplink3</v>
      </c>
    </row>
    <row r="1743" spans="1:51" x14ac:dyDescent="0.2">
      <c r="A1743" s="102">
        <v>17746</v>
      </c>
      <c r="B1743" s="103" t="s">
        <v>35</v>
      </c>
      <c r="C1743" s="103" t="s">
        <v>104</v>
      </c>
      <c r="D1743" s="103" t="s">
        <v>3232</v>
      </c>
      <c r="E1743" s="103" t="s">
        <v>3233</v>
      </c>
      <c r="F1743" s="103">
        <v>36.603630367800001</v>
      </c>
      <c r="G1743" s="103">
        <v>42.624629435199999</v>
      </c>
      <c r="H1743" s="102">
        <v>300</v>
      </c>
      <c r="I1743" s="102">
        <v>1800</v>
      </c>
      <c r="J1743" s="103"/>
      <c r="K1743" s="103"/>
      <c r="L1743" s="103"/>
      <c r="M1743" s="103">
        <v>300</v>
      </c>
      <c r="N1743" s="103"/>
      <c r="O1743" s="103"/>
      <c r="P1743" s="103"/>
      <c r="Q1743" s="103"/>
      <c r="R1743" s="103"/>
      <c r="S1743" s="103"/>
      <c r="T1743" s="103"/>
      <c r="U1743" s="103"/>
      <c r="V1743" s="103"/>
      <c r="W1743" s="103"/>
      <c r="X1743" s="103"/>
      <c r="Y1743" s="103">
        <v>275</v>
      </c>
      <c r="Z1743" s="103"/>
      <c r="AA1743" s="103">
        <v>15</v>
      </c>
      <c r="AB1743" s="103"/>
      <c r="AC1743" s="103"/>
      <c r="AD1743" s="103"/>
      <c r="AE1743" s="103"/>
      <c r="AF1743" s="103"/>
      <c r="AG1743" s="103"/>
      <c r="AH1743" s="103"/>
      <c r="AI1743" s="103"/>
      <c r="AJ1743" s="103">
        <v>10</v>
      </c>
      <c r="AK1743" s="103"/>
      <c r="AL1743" s="103"/>
      <c r="AM1743" s="103"/>
      <c r="AN1743" s="103"/>
      <c r="AO1743" s="103">
        <v>300</v>
      </c>
      <c r="AP1743" s="103"/>
      <c r="AQ1743" s="103"/>
      <c r="AR1743" s="103"/>
      <c r="AS1743" s="103"/>
      <c r="AT1743" s="103"/>
      <c r="AU1743" s="103"/>
      <c r="AV1743" s="103"/>
      <c r="AW1743" s="104" t="str">
        <f>HYPERLINK("http://www.openstreetmap.org/?mlat=36.6036&amp;mlon=42.6246&amp;zoom=12#map=12/36.6036/42.6246","Maplink1")</f>
        <v>Maplink1</v>
      </c>
      <c r="AX1743" s="104" t="str">
        <f>HYPERLINK("https://www.google.iq/maps/search/+36.6036,42.6246/@36.6036,42.6246,14z?hl=en","Maplink2")</f>
        <v>Maplink2</v>
      </c>
      <c r="AY1743" s="104" t="str">
        <f>HYPERLINK("http://www.bing.com/maps/?lvl=14&amp;sty=h&amp;cp=36.6036~42.6246&amp;sp=point.36.6036_42.6246","Maplink3")</f>
        <v>Maplink3</v>
      </c>
    </row>
    <row r="1744" spans="1:51" x14ac:dyDescent="0.2">
      <c r="A1744" s="102">
        <v>25689</v>
      </c>
      <c r="B1744" s="103" t="s">
        <v>35</v>
      </c>
      <c r="C1744" s="103" t="s">
        <v>104</v>
      </c>
      <c r="D1744" s="103" t="s">
        <v>3234</v>
      </c>
      <c r="E1744" s="103" t="s">
        <v>3235</v>
      </c>
      <c r="F1744" s="103">
        <v>36.580569179699999</v>
      </c>
      <c r="G1744" s="103">
        <v>42.6450590396</v>
      </c>
      <c r="H1744" s="102">
        <v>62</v>
      </c>
      <c r="I1744" s="102">
        <v>372</v>
      </c>
      <c r="J1744" s="103"/>
      <c r="K1744" s="103"/>
      <c r="L1744" s="103"/>
      <c r="M1744" s="103">
        <v>62</v>
      </c>
      <c r="N1744" s="103"/>
      <c r="O1744" s="103"/>
      <c r="P1744" s="103"/>
      <c r="Q1744" s="103"/>
      <c r="R1744" s="103"/>
      <c r="S1744" s="103"/>
      <c r="T1744" s="103"/>
      <c r="U1744" s="103"/>
      <c r="V1744" s="103"/>
      <c r="W1744" s="103"/>
      <c r="X1744" s="103"/>
      <c r="Y1744" s="103">
        <v>62</v>
      </c>
      <c r="Z1744" s="103"/>
      <c r="AA1744" s="103"/>
      <c r="AB1744" s="103"/>
      <c r="AC1744" s="103"/>
      <c r="AD1744" s="103"/>
      <c r="AE1744" s="103"/>
      <c r="AF1744" s="103"/>
      <c r="AG1744" s="103"/>
      <c r="AH1744" s="103"/>
      <c r="AI1744" s="103"/>
      <c r="AJ1744" s="103"/>
      <c r="AK1744" s="103"/>
      <c r="AL1744" s="103"/>
      <c r="AM1744" s="103"/>
      <c r="AN1744" s="103"/>
      <c r="AO1744" s="103">
        <v>62</v>
      </c>
      <c r="AP1744" s="103"/>
      <c r="AQ1744" s="103"/>
      <c r="AR1744" s="103"/>
      <c r="AS1744" s="103"/>
      <c r="AT1744" s="103"/>
      <c r="AU1744" s="103"/>
      <c r="AV1744" s="103"/>
      <c r="AW1744" s="104" t="str">
        <f>HYPERLINK("http://www.openstreetmap.org/?mlat=36.5806&amp;mlon=42.6451&amp;zoom=12#map=12/36.5806/42.6451","Maplink1")</f>
        <v>Maplink1</v>
      </c>
      <c r="AX1744" s="104" t="str">
        <f>HYPERLINK("https://www.google.iq/maps/search/+36.5806,42.6451/@36.5806,42.6451,14z?hl=en","Maplink2")</f>
        <v>Maplink2</v>
      </c>
      <c r="AY1744" s="104" t="str">
        <f>HYPERLINK("http://www.bing.com/maps/?lvl=14&amp;sty=h&amp;cp=36.5806~42.6451&amp;sp=point.36.5806_42.6451","Maplink3")</f>
        <v>Maplink3</v>
      </c>
    </row>
    <row r="1745" spans="1:51" x14ac:dyDescent="0.2">
      <c r="A1745" s="102">
        <v>27357</v>
      </c>
      <c r="B1745" s="103" t="s">
        <v>35</v>
      </c>
      <c r="C1745" s="103" t="s">
        <v>104</v>
      </c>
      <c r="D1745" s="103" t="s">
        <v>3236</v>
      </c>
      <c r="E1745" s="103" t="s">
        <v>3237</v>
      </c>
      <c r="F1745" s="103">
        <v>36.550674970000003</v>
      </c>
      <c r="G1745" s="103">
        <v>42.071957062700001</v>
      </c>
      <c r="H1745" s="102">
        <v>95</v>
      </c>
      <c r="I1745" s="102">
        <v>570</v>
      </c>
      <c r="J1745" s="103"/>
      <c r="K1745" s="103"/>
      <c r="L1745" s="103"/>
      <c r="M1745" s="103">
        <v>95</v>
      </c>
      <c r="N1745" s="103"/>
      <c r="O1745" s="103"/>
      <c r="P1745" s="103"/>
      <c r="Q1745" s="103"/>
      <c r="R1745" s="103"/>
      <c r="S1745" s="103"/>
      <c r="T1745" s="103"/>
      <c r="U1745" s="103"/>
      <c r="V1745" s="103"/>
      <c r="W1745" s="103"/>
      <c r="X1745" s="103"/>
      <c r="Y1745" s="103"/>
      <c r="Z1745" s="103"/>
      <c r="AA1745" s="103"/>
      <c r="AB1745" s="103"/>
      <c r="AC1745" s="103"/>
      <c r="AD1745" s="103"/>
      <c r="AE1745" s="103"/>
      <c r="AF1745" s="103"/>
      <c r="AG1745" s="103">
        <v>95</v>
      </c>
      <c r="AH1745" s="103"/>
      <c r="AI1745" s="103"/>
      <c r="AJ1745" s="103"/>
      <c r="AK1745" s="103"/>
      <c r="AL1745" s="103"/>
      <c r="AM1745" s="103"/>
      <c r="AN1745" s="103"/>
      <c r="AO1745" s="103"/>
      <c r="AP1745" s="103">
        <v>95</v>
      </c>
      <c r="AQ1745" s="103"/>
      <c r="AR1745" s="103"/>
      <c r="AS1745" s="103"/>
      <c r="AT1745" s="103"/>
      <c r="AU1745" s="103"/>
      <c r="AV1745" s="103"/>
      <c r="AW1745" s="104" t="str">
        <f>HYPERLINK("http://www.openstreetmap.org/?mlat=36.5507&amp;mlon=42.072&amp;zoom=12#map=12/36.5507/42.072","Maplink1")</f>
        <v>Maplink1</v>
      </c>
      <c r="AX1745" s="104" t="str">
        <f>HYPERLINK("https://www.google.iq/maps/search/+36.5507,42.072/@36.5507,42.072,14z?hl=en","Maplink2")</f>
        <v>Maplink2</v>
      </c>
      <c r="AY1745" s="104" t="str">
        <f>HYPERLINK("http://www.bing.com/maps/?lvl=14&amp;sty=h&amp;cp=36.5507~42.072&amp;sp=point.36.5507_42.072","Maplink3")</f>
        <v>Maplink3</v>
      </c>
    </row>
    <row r="1746" spans="1:51" x14ac:dyDescent="0.2">
      <c r="A1746" s="102">
        <v>25691</v>
      </c>
      <c r="B1746" s="103" t="s">
        <v>35</v>
      </c>
      <c r="C1746" s="103" t="s">
        <v>104</v>
      </c>
      <c r="D1746" s="103" t="s">
        <v>3238</v>
      </c>
      <c r="E1746" s="103" t="s">
        <v>3239</v>
      </c>
      <c r="F1746" s="103">
        <v>36.545873</v>
      </c>
      <c r="G1746" s="103">
        <v>42.445136935500003</v>
      </c>
      <c r="H1746" s="102">
        <v>27</v>
      </c>
      <c r="I1746" s="102">
        <v>162</v>
      </c>
      <c r="J1746" s="103"/>
      <c r="K1746" s="103"/>
      <c r="L1746" s="103"/>
      <c r="M1746" s="103">
        <v>27</v>
      </c>
      <c r="N1746" s="103"/>
      <c r="O1746" s="103"/>
      <c r="P1746" s="103"/>
      <c r="Q1746" s="103"/>
      <c r="R1746" s="103"/>
      <c r="S1746" s="103"/>
      <c r="T1746" s="103"/>
      <c r="U1746" s="103"/>
      <c r="V1746" s="103"/>
      <c r="W1746" s="103"/>
      <c r="X1746" s="103"/>
      <c r="Y1746" s="103"/>
      <c r="Z1746" s="103"/>
      <c r="AA1746" s="103"/>
      <c r="AB1746" s="103"/>
      <c r="AC1746" s="103"/>
      <c r="AD1746" s="103"/>
      <c r="AE1746" s="103"/>
      <c r="AF1746" s="103"/>
      <c r="AG1746" s="103">
        <v>27</v>
      </c>
      <c r="AH1746" s="103"/>
      <c r="AI1746" s="103"/>
      <c r="AJ1746" s="103"/>
      <c r="AK1746" s="103"/>
      <c r="AL1746" s="103"/>
      <c r="AM1746" s="103"/>
      <c r="AN1746" s="103"/>
      <c r="AO1746" s="103"/>
      <c r="AP1746" s="103"/>
      <c r="AQ1746" s="103">
        <v>20</v>
      </c>
      <c r="AR1746" s="103">
        <v>7</v>
      </c>
      <c r="AS1746" s="103"/>
      <c r="AT1746" s="103"/>
      <c r="AU1746" s="103"/>
      <c r="AV1746" s="103"/>
      <c r="AW1746" s="104" t="str">
        <f>HYPERLINK("http://www.openstreetmap.org/?mlat=36.5459&amp;mlon=42.4451&amp;zoom=12#map=12/36.5459/42.4451","Maplink1")</f>
        <v>Maplink1</v>
      </c>
      <c r="AX1746" s="104" t="str">
        <f>HYPERLINK("https://www.google.iq/maps/search/+36.5459,42.4451/@36.5459,42.4451,14z?hl=en","Maplink2")</f>
        <v>Maplink2</v>
      </c>
      <c r="AY1746" s="104" t="str">
        <f>HYPERLINK("http://www.bing.com/maps/?lvl=14&amp;sty=h&amp;cp=36.5459~42.4451&amp;sp=point.36.5459_42.4451","Maplink3")</f>
        <v>Maplink3</v>
      </c>
    </row>
    <row r="1747" spans="1:51" x14ac:dyDescent="0.2">
      <c r="A1747" s="102">
        <v>28440</v>
      </c>
      <c r="B1747" s="103" t="s">
        <v>35</v>
      </c>
      <c r="C1747" s="103" t="s">
        <v>104</v>
      </c>
      <c r="D1747" s="103" t="s">
        <v>3240</v>
      </c>
      <c r="E1747" s="103" t="s">
        <v>3241</v>
      </c>
      <c r="F1747" s="103">
        <v>36.797129163400001</v>
      </c>
      <c r="G1747" s="103">
        <v>42.216600958299999</v>
      </c>
      <c r="H1747" s="102">
        <v>88</v>
      </c>
      <c r="I1747" s="102">
        <v>528</v>
      </c>
      <c r="J1747" s="103"/>
      <c r="K1747" s="103"/>
      <c r="L1747" s="103"/>
      <c r="M1747" s="103">
        <v>88</v>
      </c>
      <c r="N1747" s="103"/>
      <c r="O1747" s="103"/>
      <c r="P1747" s="103"/>
      <c r="Q1747" s="103"/>
      <c r="R1747" s="103"/>
      <c r="S1747" s="103"/>
      <c r="T1747" s="103"/>
      <c r="U1747" s="103"/>
      <c r="V1747" s="103"/>
      <c r="W1747" s="103"/>
      <c r="X1747" s="103"/>
      <c r="Y1747" s="103"/>
      <c r="Z1747" s="103"/>
      <c r="AA1747" s="103"/>
      <c r="AB1747" s="103"/>
      <c r="AC1747" s="103"/>
      <c r="AD1747" s="103"/>
      <c r="AE1747" s="103"/>
      <c r="AF1747" s="103"/>
      <c r="AG1747" s="103">
        <v>88</v>
      </c>
      <c r="AH1747" s="103"/>
      <c r="AI1747" s="103"/>
      <c r="AJ1747" s="103"/>
      <c r="AK1747" s="103"/>
      <c r="AL1747" s="103"/>
      <c r="AM1747" s="103"/>
      <c r="AN1747" s="103"/>
      <c r="AO1747" s="103"/>
      <c r="AP1747" s="103">
        <v>88</v>
      </c>
      <c r="AQ1747" s="103"/>
      <c r="AR1747" s="103"/>
      <c r="AS1747" s="103"/>
      <c r="AT1747" s="103"/>
      <c r="AU1747" s="103"/>
      <c r="AV1747" s="103"/>
      <c r="AW1747" s="104" t="str">
        <f>HYPERLINK("http://www.openstreetmap.org/?mlat=36.7971&amp;mlon=42.2166&amp;zoom=12#map=12/36.7971/42.2166","Maplink1")</f>
        <v>Maplink1</v>
      </c>
      <c r="AX1747" s="104" t="str">
        <f>HYPERLINK("https://www.google.iq/maps/search/+36.7971,42.2166/@36.7971,42.2166,14z?hl=en","Maplink2")</f>
        <v>Maplink2</v>
      </c>
      <c r="AY1747" s="104" t="str">
        <f>HYPERLINK("http://www.bing.com/maps/?lvl=14&amp;sty=h&amp;cp=36.7971~42.2166&amp;sp=point.36.7971_42.2166","Maplink3")</f>
        <v>Maplink3</v>
      </c>
    </row>
    <row r="1748" spans="1:51" x14ac:dyDescent="0.2">
      <c r="A1748" s="102">
        <v>17573</v>
      </c>
      <c r="B1748" s="103" t="s">
        <v>35</v>
      </c>
      <c r="C1748" s="103" t="s">
        <v>104</v>
      </c>
      <c r="D1748" s="103" t="s">
        <v>3242</v>
      </c>
      <c r="E1748" s="103" t="s">
        <v>3243</v>
      </c>
      <c r="F1748" s="103">
        <v>36.592300000000002</v>
      </c>
      <c r="G1748" s="103">
        <v>42.704562819000003</v>
      </c>
      <c r="H1748" s="102">
        <v>205</v>
      </c>
      <c r="I1748" s="102">
        <v>1230</v>
      </c>
      <c r="J1748" s="103"/>
      <c r="K1748" s="103"/>
      <c r="L1748" s="103"/>
      <c r="M1748" s="103">
        <v>175</v>
      </c>
      <c r="N1748" s="103">
        <v>30</v>
      </c>
      <c r="O1748" s="103"/>
      <c r="P1748" s="103"/>
      <c r="Q1748" s="103"/>
      <c r="R1748" s="103"/>
      <c r="S1748" s="103"/>
      <c r="T1748" s="103"/>
      <c r="U1748" s="103"/>
      <c r="V1748" s="103"/>
      <c r="W1748" s="103"/>
      <c r="X1748" s="103"/>
      <c r="Y1748" s="103"/>
      <c r="Z1748" s="103"/>
      <c r="AA1748" s="103"/>
      <c r="AB1748" s="103"/>
      <c r="AC1748" s="103"/>
      <c r="AD1748" s="103"/>
      <c r="AE1748" s="103"/>
      <c r="AF1748" s="103"/>
      <c r="AG1748" s="103">
        <v>205</v>
      </c>
      <c r="AH1748" s="103"/>
      <c r="AI1748" s="103"/>
      <c r="AJ1748" s="103"/>
      <c r="AK1748" s="103"/>
      <c r="AL1748" s="103"/>
      <c r="AM1748" s="103"/>
      <c r="AN1748" s="103"/>
      <c r="AO1748" s="103">
        <v>205</v>
      </c>
      <c r="AP1748" s="103"/>
      <c r="AQ1748" s="103"/>
      <c r="AR1748" s="103"/>
      <c r="AS1748" s="103"/>
      <c r="AT1748" s="103"/>
      <c r="AU1748" s="103"/>
      <c r="AV1748" s="103"/>
      <c r="AW1748" s="104" t="str">
        <f>HYPERLINK("http://www.openstreetmap.org/?mlat=36.5923&amp;mlon=42.7046&amp;zoom=12#map=12/36.5923/42.7046","Maplink1")</f>
        <v>Maplink1</v>
      </c>
      <c r="AX1748" s="104" t="str">
        <f>HYPERLINK("https://www.google.iq/maps/search/+36.5923,42.7046/@36.5923,42.7046,14z?hl=en","Maplink2")</f>
        <v>Maplink2</v>
      </c>
      <c r="AY1748" s="104" t="str">
        <f>HYPERLINK("http://www.bing.com/maps/?lvl=14&amp;sty=h&amp;cp=36.5923~42.7046&amp;sp=point.36.5923_42.7046","Maplink3")</f>
        <v>Maplink3</v>
      </c>
    </row>
    <row r="1749" spans="1:51" x14ac:dyDescent="0.2">
      <c r="A1749" s="102">
        <v>33423</v>
      </c>
      <c r="B1749" s="103" t="s">
        <v>35</v>
      </c>
      <c r="C1749" s="103" t="s">
        <v>104</v>
      </c>
      <c r="D1749" s="103" t="s">
        <v>3244</v>
      </c>
      <c r="E1749" s="103" t="s">
        <v>3245</v>
      </c>
      <c r="F1749" s="103">
        <v>36.466299999999997</v>
      </c>
      <c r="G1749" s="103">
        <v>42.542114423500003</v>
      </c>
      <c r="H1749" s="102">
        <v>102</v>
      </c>
      <c r="I1749" s="102">
        <v>612</v>
      </c>
      <c r="J1749" s="103"/>
      <c r="K1749" s="103"/>
      <c r="L1749" s="103"/>
      <c r="M1749" s="103">
        <v>102</v>
      </c>
      <c r="N1749" s="103"/>
      <c r="O1749" s="103"/>
      <c r="P1749" s="103"/>
      <c r="Q1749" s="103"/>
      <c r="R1749" s="103"/>
      <c r="S1749" s="103"/>
      <c r="T1749" s="103"/>
      <c r="U1749" s="103"/>
      <c r="V1749" s="103"/>
      <c r="W1749" s="103"/>
      <c r="X1749" s="103"/>
      <c r="Y1749" s="103"/>
      <c r="Z1749" s="103"/>
      <c r="AA1749" s="103"/>
      <c r="AB1749" s="103"/>
      <c r="AC1749" s="103"/>
      <c r="AD1749" s="103"/>
      <c r="AE1749" s="103"/>
      <c r="AF1749" s="103"/>
      <c r="AG1749" s="103">
        <v>102</v>
      </c>
      <c r="AH1749" s="103"/>
      <c r="AI1749" s="103"/>
      <c r="AJ1749" s="103"/>
      <c r="AK1749" s="103"/>
      <c r="AL1749" s="103"/>
      <c r="AM1749" s="103"/>
      <c r="AN1749" s="103"/>
      <c r="AO1749" s="103"/>
      <c r="AP1749" s="103"/>
      <c r="AQ1749" s="103"/>
      <c r="AR1749" s="103"/>
      <c r="AS1749" s="103">
        <v>15</v>
      </c>
      <c r="AT1749" s="103">
        <v>87</v>
      </c>
      <c r="AU1749" s="103"/>
      <c r="AV1749" s="103"/>
      <c r="AW1749" s="104" t="str">
        <f>HYPERLINK("http://www.openstreetmap.org/?mlat=36.4663&amp;mlon=42.5421&amp;zoom=12#map=12/36.4663/42.5421","Maplink1")</f>
        <v>Maplink1</v>
      </c>
      <c r="AX1749" s="104" t="str">
        <f>HYPERLINK("https://www.google.iq/maps/search/+36.4663,42.5421/@36.4663,42.5421,14z?hl=en","Maplink2")</f>
        <v>Maplink2</v>
      </c>
      <c r="AY1749" s="104" t="str">
        <f>HYPERLINK("http://www.bing.com/maps/?lvl=14&amp;sty=h&amp;cp=36.4663~42.5421&amp;sp=point.36.4663_42.5421","Maplink3")</f>
        <v>Maplink3</v>
      </c>
    </row>
    <row r="1750" spans="1:51" x14ac:dyDescent="0.2">
      <c r="A1750" s="102">
        <v>33676</v>
      </c>
      <c r="B1750" s="103" t="s">
        <v>35</v>
      </c>
      <c r="C1750" s="103" t="s">
        <v>104</v>
      </c>
      <c r="D1750" s="103" t="s">
        <v>3246</v>
      </c>
      <c r="E1750" s="103" t="s">
        <v>3247</v>
      </c>
      <c r="F1750" s="103">
        <v>36.520356</v>
      </c>
      <c r="G1750" s="103">
        <v>42.227463999999998</v>
      </c>
      <c r="H1750" s="102">
        <v>9</v>
      </c>
      <c r="I1750" s="102">
        <v>54</v>
      </c>
      <c r="J1750" s="103"/>
      <c r="K1750" s="103"/>
      <c r="L1750" s="103"/>
      <c r="M1750" s="103">
        <v>6</v>
      </c>
      <c r="N1750" s="103">
        <v>3</v>
      </c>
      <c r="O1750" s="103"/>
      <c r="P1750" s="103"/>
      <c r="Q1750" s="103"/>
      <c r="R1750" s="103"/>
      <c r="S1750" s="103"/>
      <c r="T1750" s="103"/>
      <c r="U1750" s="103"/>
      <c r="V1750" s="103"/>
      <c r="W1750" s="103"/>
      <c r="X1750" s="103"/>
      <c r="Y1750" s="103"/>
      <c r="Z1750" s="103"/>
      <c r="AA1750" s="103"/>
      <c r="AB1750" s="103"/>
      <c r="AC1750" s="103"/>
      <c r="AD1750" s="103"/>
      <c r="AE1750" s="103"/>
      <c r="AF1750" s="103"/>
      <c r="AG1750" s="103">
        <v>9</v>
      </c>
      <c r="AH1750" s="103"/>
      <c r="AI1750" s="103"/>
      <c r="AJ1750" s="103"/>
      <c r="AK1750" s="103"/>
      <c r="AL1750" s="103"/>
      <c r="AM1750" s="103"/>
      <c r="AN1750" s="103"/>
      <c r="AO1750" s="103"/>
      <c r="AP1750" s="103">
        <v>9</v>
      </c>
      <c r="AQ1750" s="103"/>
      <c r="AR1750" s="103"/>
      <c r="AS1750" s="103"/>
      <c r="AT1750" s="103"/>
      <c r="AU1750" s="103"/>
      <c r="AV1750" s="103"/>
      <c r="AW1750" s="104" t="str">
        <f>HYPERLINK("http://www.openstreetmap.org/?mlat=36.5204&amp;mlon=42.2275&amp;zoom=12#map=12/36.5204/42.2275","Maplink1")</f>
        <v>Maplink1</v>
      </c>
      <c r="AX1750" s="104" t="str">
        <f>HYPERLINK("https://www.google.iq/maps/search/+36.5204,42.2275/@36.5204,42.2275,14z?hl=en","Maplink2")</f>
        <v>Maplink2</v>
      </c>
      <c r="AY1750" s="104" t="str">
        <f>HYPERLINK("http://www.bing.com/maps/?lvl=14&amp;sty=h&amp;cp=36.5204~42.2275&amp;sp=point.36.5204_42.2275","Maplink3")</f>
        <v>Maplink3</v>
      </c>
    </row>
    <row r="1751" spans="1:51" x14ac:dyDescent="0.2">
      <c r="A1751" s="102">
        <v>25705</v>
      </c>
      <c r="B1751" s="103" t="s">
        <v>35</v>
      </c>
      <c r="C1751" s="103" t="s">
        <v>104</v>
      </c>
      <c r="D1751" s="103" t="s">
        <v>3199</v>
      </c>
      <c r="E1751" s="103" t="s">
        <v>3200</v>
      </c>
      <c r="F1751" s="103">
        <v>36.576739179999997</v>
      </c>
      <c r="G1751" s="103">
        <v>42.606678365699999</v>
      </c>
      <c r="H1751" s="102">
        <v>28</v>
      </c>
      <c r="I1751" s="102">
        <v>168</v>
      </c>
      <c r="J1751" s="103"/>
      <c r="K1751" s="103"/>
      <c r="L1751" s="103"/>
      <c r="M1751" s="103">
        <v>28</v>
      </c>
      <c r="N1751" s="103"/>
      <c r="O1751" s="103"/>
      <c r="P1751" s="103"/>
      <c r="Q1751" s="103"/>
      <c r="R1751" s="103"/>
      <c r="S1751" s="103"/>
      <c r="T1751" s="103"/>
      <c r="U1751" s="103"/>
      <c r="V1751" s="103"/>
      <c r="W1751" s="103"/>
      <c r="X1751" s="103"/>
      <c r="Y1751" s="103">
        <v>28</v>
      </c>
      <c r="Z1751" s="103"/>
      <c r="AA1751" s="103"/>
      <c r="AB1751" s="103"/>
      <c r="AC1751" s="103"/>
      <c r="AD1751" s="103"/>
      <c r="AE1751" s="103"/>
      <c r="AF1751" s="103"/>
      <c r="AG1751" s="103"/>
      <c r="AH1751" s="103"/>
      <c r="AI1751" s="103"/>
      <c r="AJ1751" s="103"/>
      <c r="AK1751" s="103"/>
      <c r="AL1751" s="103"/>
      <c r="AM1751" s="103"/>
      <c r="AN1751" s="103"/>
      <c r="AO1751" s="103">
        <v>28</v>
      </c>
      <c r="AP1751" s="103"/>
      <c r="AQ1751" s="103"/>
      <c r="AR1751" s="103"/>
      <c r="AS1751" s="103"/>
      <c r="AT1751" s="103"/>
      <c r="AU1751" s="103"/>
      <c r="AV1751" s="103"/>
      <c r="AW1751" s="104" t="str">
        <f>HYPERLINK("http://www.openstreetmap.org/?mlat=36.5767&amp;mlon=42.6067&amp;zoom=12#map=12/36.5767/42.6067","Maplink1")</f>
        <v>Maplink1</v>
      </c>
      <c r="AX1751" s="104" t="str">
        <f>HYPERLINK("https://www.google.iq/maps/search/+36.5767,42.6067/@36.5767,42.6067,14z?hl=en","Maplink2")</f>
        <v>Maplink2</v>
      </c>
      <c r="AY1751" s="104" t="str">
        <f>HYPERLINK("http://www.bing.com/maps/?lvl=14&amp;sty=h&amp;cp=36.5767~42.6067&amp;sp=point.36.5767_42.6067","Maplink3")</f>
        <v>Maplink3</v>
      </c>
    </row>
    <row r="1752" spans="1:51" x14ac:dyDescent="0.2">
      <c r="A1752" s="102">
        <v>25809</v>
      </c>
      <c r="B1752" s="103" t="s">
        <v>35</v>
      </c>
      <c r="C1752" s="103" t="s">
        <v>104</v>
      </c>
      <c r="D1752" s="103" t="s">
        <v>3201</v>
      </c>
      <c r="E1752" s="103" t="s">
        <v>3202</v>
      </c>
      <c r="F1752" s="103">
        <v>36.7120468058</v>
      </c>
      <c r="G1752" s="103">
        <v>42.614610669699999</v>
      </c>
      <c r="H1752" s="102">
        <v>652</v>
      </c>
      <c r="I1752" s="102">
        <v>3912</v>
      </c>
      <c r="J1752" s="103"/>
      <c r="K1752" s="103"/>
      <c r="L1752" s="103"/>
      <c r="M1752" s="103">
        <v>652</v>
      </c>
      <c r="N1752" s="103"/>
      <c r="O1752" s="103"/>
      <c r="P1752" s="103"/>
      <c r="Q1752" s="103"/>
      <c r="R1752" s="103"/>
      <c r="S1752" s="103"/>
      <c r="T1752" s="103"/>
      <c r="U1752" s="103"/>
      <c r="V1752" s="103"/>
      <c r="W1752" s="103"/>
      <c r="X1752" s="103"/>
      <c r="Y1752" s="103">
        <v>275</v>
      </c>
      <c r="Z1752" s="103"/>
      <c r="AA1752" s="103"/>
      <c r="AB1752" s="103"/>
      <c r="AC1752" s="103"/>
      <c r="AD1752" s="103"/>
      <c r="AE1752" s="103"/>
      <c r="AF1752" s="103"/>
      <c r="AG1752" s="103">
        <v>377</v>
      </c>
      <c r="AH1752" s="103"/>
      <c r="AI1752" s="103"/>
      <c r="AJ1752" s="103"/>
      <c r="AK1752" s="103"/>
      <c r="AL1752" s="103"/>
      <c r="AM1752" s="103"/>
      <c r="AN1752" s="103"/>
      <c r="AO1752" s="103">
        <v>602</v>
      </c>
      <c r="AP1752" s="103"/>
      <c r="AQ1752" s="103"/>
      <c r="AR1752" s="103"/>
      <c r="AS1752" s="103"/>
      <c r="AT1752" s="103">
        <v>50</v>
      </c>
      <c r="AU1752" s="103"/>
      <c r="AV1752" s="103"/>
      <c r="AW1752" s="104" t="str">
        <f>HYPERLINK("http://www.openstreetmap.org/?mlat=36.712&amp;mlon=42.6146&amp;zoom=12#map=12/36.712/42.6146","Maplink1")</f>
        <v>Maplink1</v>
      </c>
      <c r="AX1752" s="104" t="str">
        <f>HYPERLINK("https://www.google.iq/maps/search/+36.712,42.6146/@36.712,42.6146,14z?hl=en","Maplink2")</f>
        <v>Maplink2</v>
      </c>
      <c r="AY1752" s="104" t="str">
        <f>HYPERLINK("http://www.bing.com/maps/?lvl=14&amp;sty=h&amp;cp=36.712~42.6146&amp;sp=point.36.712_42.6146","Maplink3")</f>
        <v>Maplink3</v>
      </c>
    </row>
    <row r="1753" spans="1:51" x14ac:dyDescent="0.2">
      <c r="A1753" s="102">
        <v>22648</v>
      </c>
      <c r="B1753" s="103" t="s">
        <v>35</v>
      </c>
      <c r="C1753" s="103" t="s">
        <v>104</v>
      </c>
      <c r="D1753" s="103" t="s">
        <v>3203</v>
      </c>
      <c r="E1753" s="103" t="s">
        <v>3204</v>
      </c>
      <c r="F1753" s="103">
        <v>36.535390602299998</v>
      </c>
      <c r="G1753" s="103">
        <v>42.703595173499998</v>
      </c>
      <c r="H1753" s="102">
        <v>175</v>
      </c>
      <c r="I1753" s="102">
        <v>1050</v>
      </c>
      <c r="J1753" s="103"/>
      <c r="K1753" s="103"/>
      <c r="L1753" s="103"/>
      <c r="M1753" s="103">
        <v>175</v>
      </c>
      <c r="N1753" s="103"/>
      <c r="O1753" s="103"/>
      <c r="P1753" s="103"/>
      <c r="Q1753" s="103"/>
      <c r="R1753" s="103"/>
      <c r="S1753" s="103"/>
      <c r="T1753" s="103"/>
      <c r="U1753" s="103"/>
      <c r="V1753" s="103"/>
      <c r="W1753" s="103"/>
      <c r="X1753" s="103"/>
      <c r="Y1753" s="103"/>
      <c r="Z1753" s="103"/>
      <c r="AA1753" s="103"/>
      <c r="AB1753" s="103"/>
      <c r="AC1753" s="103"/>
      <c r="AD1753" s="103"/>
      <c r="AE1753" s="103"/>
      <c r="AF1753" s="103"/>
      <c r="AG1753" s="103">
        <v>175</v>
      </c>
      <c r="AH1753" s="103"/>
      <c r="AI1753" s="103"/>
      <c r="AJ1753" s="103"/>
      <c r="AK1753" s="103"/>
      <c r="AL1753" s="103"/>
      <c r="AM1753" s="103"/>
      <c r="AN1753" s="103"/>
      <c r="AO1753" s="103">
        <v>150</v>
      </c>
      <c r="AP1753" s="103"/>
      <c r="AQ1753" s="103">
        <v>25</v>
      </c>
      <c r="AR1753" s="103"/>
      <c r="AS1753" s="103"/>
      <c r="AT1753" s="103"/>
      <c r="AU1753" s="103"/>
      <c r="AV1753" s="103"/>
      <c r="AW1753" s="104" t="str">
        <f>HYPERLINK("http://www.openstreetmap.org/?mlat=36.5354&amp;mlon=42.7036&amp;zoom=12#map=12/36.5354/42.7036","Maplink1")</f>
        <v>Maplink1</v>
      </c>
      <c r="AX1753" s="104" t="str">
        <f>HYPERLINK("https://www.google.iq/maps/search/+36.5354,42.7036/@36.5354,42.7036,14z?hl=en","Maplink2")</f>
        <v>Maplink2</v>
      </c>
      <c r="AY1753" s="104" t="str">
        <f>HYPERLINK("http://www.bing.com/maps/?lvl=14&amp;sty=h&amp;cp=36.5354~42.7036&amp;sp=point.36.5354_42.7036","Maplink3")</f>
        <v>Maplink3</v>
      </c>
    </row>
    <row r="1754" spans="1:51" x14ac:dyDescent="0.2">
      <c r="A1754" s="102">
        <v>33282</v>
      </c>
      <c r="B1754" s="103" t="s">
        <v>35</v>
      </c>
      <c r="C1754" s="103" t="s">
        <v>104</v>
      </c>
      <c r="D1754" s="103" t="s">
        <v>3205</v>
      </c>
      <c r="E1754" s="103" t="s">
        <v>3206</v>
      </c>
      <c r="F1754" s="103">
        <v>36.37106</v>
      </c>
      <c r="G1754" s="103">
        <v>42.443444300000003</v>
      </c>
      <c r="H1754" s="102">
        <v>405</v>
      </c>
      <c r="I1754" s="102">
        <v>2430</v>
      </c>
      <c r="J1754" s="103"/>
      <c r="K1754" s="103"/>
      <c r="L1754" s="103">
        <v>20</v>
      </c>
      <c r="M1754" s="103">
        <v>377</v>
      </c>
      <c r="N1754" s="103">
        <v>8</v>
      </c>
      <c r="O1754" s="103"/>
      <c r="P1754" s="103"/>
      <c r="Q1754" s="103"/>
      <c r="R1754" s="103"/>
      <c r="S1754" s="103"/>
      <c r="T1754" s="103"/>
      <c r="U1754" s="103"/>
      <c r="V1754" s="103">
        <v>75</v>
      </c>
      <c r="W1754" s="103">
        <v>23</v>
      </c>
      <c r="X1754" s="103"/>
      <c r="Y1754" s="103"/>
      <c r="Z1754" s="103"/>
      <c r="AA1754" s="103"/>
      <c r="AB1754" s="103">
        <v>137</v>
      </c>
      <c r="AC1754" s="103"/>
      <c r="AD1754" s="103"/>
      <c r="AE1754" s="103"/>
      <c r="AF1754" s="103">
        <v>155</v>
      </c>
      <c r="AG1754" s="103"/>
      <c r="AH1754" s="103">
        <v>2</v>
      </c>
      <c r="AI1754" s="103"/>
      <c r="AJ1754" s="103"/>
      <c r="AK1754" s="103">
        <v>3</v>
      </c>
      <c r="AL1754" s="103">
        <v>10</v>
      </c>
      <c r="AM1754" s="103"/>
      <c r="AN1754" s="103">
        <v>405</v>
      </c>
      <c r="AO1754" s="103"/>
      <c r="AP1754" s="103"/>
      <c r="AQ1754" s="103"/>
      <c r="AR1754" s="103"/>
      <c r="AS1754" s="103"/>
      <c r="AT1754" s="103"/>
      <c r="AU1754" s="103"/>
      <c r="AV1754" s="103"/>
      <c r="AW1754" s="104" t="str">
        <f>HYPERLINK("http://www.openstreetmap.org/?mlat=36.3711&amp;mlon=42.4434&amp;zoom=12#map=12/36.3711/42.4434","Maplink1")</f>
        <v>Maplink1</v>
      </c>
      <c r="AX1754" s="104" t="str">
        <f>HYPERLINK("https://www.google.iq/maps/search/+36.3711,42.4434/@36.3711,42.4434,14z?hl=en","Maplink2")</f>
        <v>Maplink2</v>
      </c>
      <c r="AY1754" s="104" t="str">
        <f>HYPERLINK("http://www.bing.com/maps/?lvl=14&amp;sty=h&amp;cp=36.3711~42.4434&amp;sp=point.36.3711_42.4434","Maplink3")</f>
        <v>Maplink3</v>
      </c>
    </row>
    <row r="1755" spans="1:51" x14ac:dyDescent="0.2">
      <c r="A1755" s="102">
        <v>33295</v>
      </c>
      <c r="B1755" s="103" t="s">
        <v>35</v>
      </c>
      <c r="C1755" s="103" t="s">
        <v>104</v>
      </c>
      <c r="D1755" s="103" t="s">
        <v>3207</v>
      </c>
      <c r="E1755" s="103" t="s">
        <v>3208</v>
      </c>
      <c r="F1755" s="103">
        <v>36.387440300000002</v>
      </c>
      <c r="G1755" s="103">
        <v>42.528474000000003</v>
      </c>
      <c r="H1755" s="102">
        <v>80</v>
      </c>
      <c r="I1755" s="102">
        <v>480</v>
      </c>
      <c r="J1755" s="103"/>
      <c r="K1755" s="103"/>
      <c r="L1755" s="103"/>
      <c r="M1755" s="103">
        <v>80</v>
      </c>
      <c r="N1755" s="103"/>
      <c r="O1755" s="103"/>
      <c r="P1755" s="103"/>
      <c r="Q1755" s="103"/>
      <c r="R1755" s="103"/>
      <c r="S1755" s="103"/>
      <c r="T1755" s="103"/>
      <c r="U1755" s="103"/>
      <c r="V1755" s="103"/>
      <c r="W1755" s="103"/>
      <c r="X1755" s="103"/>
      <c r="Y1755" s="103"/>
      <c r="Z1755" s="103"/>
      <c r="AA1755" s="103"/>
      <c r="AB1755" s="103"/>
      <c r="AC1755" s="103"/>
      <c r="AD1755" s="103"/>
      <c r="AE1755" s="103"/>
      <c r="AF1755" s="103"/>
      <c r="AG1755" s="103">
        <v>80</v>
      </c>
      <c r="AH1755" s="103"/>
      <c r="AI1755" s="103"/>
      <c r="AJ1755" s="103"/>
      <c r="AK1755" s="103"/>
      <c r="AL1755" s="103"/>
      <c r="AM1755" s="103"/>
      <c r="AN1755" s="103"/>
      <c r="AO1755" s="103"/>
      <c r="AP1755" s="103"/>
      <c r="AQ1755" s="103"/>
      <c r="AR1755" s="103"/>
      <c r="AS1755" s="103">
        <v>80</v>
      </c>
      <c r="AT1755" s="103"/>
      <c r="AU1755" s="103"/>
      <c r="AV1755" s="103"/>
      <c r="AW1755" s="104" t="str">
        <f>HYPERLINK("http://www.openstreetmap.org/?mlat=36.3874&amp;mlon=42.5285&amp;zoom=12#map=12/36.3874/42.5285","Maplink1")</f>
        <v>Maplink1</v>
      </c>
      <c r="AX1755" s="104" t="str">
        <f>HYPERLINK("https://www.google.iq/maps/search/+36.3874,42.5285/@36.3874,42.5285,14z?hl=en","Maplink2")</f>
        <v>Maplink2</v>
      </c>
      <c r="AY1755" s="104" t="str">
        <f>HYPERLINK("http://www.bing.com/maps/?lvl=14&amp;sty=h&amp;cp=36.3874~42.5285&amp;sp=point.36.3874_42.5285","Maplink3")</f>
        <v>Maplink3</v>
      </c>
    </row>
    <row r="1756" spans="1:51" x14ac:dyDescent="0.2">
      <c r="A1756" s="102">
        <v>33472</v>
      </c>
      <c r="B1756" s="103" t="s">
        <v>35</v>
      </c>
      <c r="C1756" s="103" t="s">
        <v>104</v>
      </c>
      <c r="D1756" s="103" t="s">
        <v>3209</v>
      </c>
      <c r="E1756" s="103" t="s">
        <v>3210</v>
      </c>
      <c r="F1756" s="103">
        <v>36.485300000000002</v>
      </c>
      <c r="G1756" s="103">
        <v>42.422117739400001</v>
      </c>
      <c r="H1756" s="102">
        <v>750</v>
      </c>
      <c r="I1756" s="102">
        <v>4500</v>
      </c>
      <c r="J1756" s="103">
        <v>150</v>
      </c>
      <c r="K1756" s="103"/>
      <c r="L1756" s="103"/>
      <c r="M1756" s="103">
        <v>450</v>
      </c>
      <c r="N1756" s="103">
        <v>150</v>
      </c>
      <c r="O1756" s="103"/>
      <c r="P1756" s="103"/>
      <c r="Q1756" s="103"/>
      <c r="R1756" s="103"/>
      <c r="S1756" s="103"/>
      <c r="T1756" s="103"/>
      <c r="U1756" s="103"/>
      <c r="V1756" s="103"/>
      <c r="W1756" s="103"/>
      <c r="X1756" s="103"/>
      <c r="Y1756" s="103"/>
      <c r="Z1756" s="103"/>
      <c r="AA1756" s="103"/>
      <c r="AB1756" s="103"/>
      <c r="AC1756" s="103">
        <v>350</v>
      </c>
      <c r="AD1756" s="103"/>
      <c r="AE1756" s="103"/>
      <c r="AF1756" s="103"/>
      <c r="AG1756" s="103">
        <v>400</v>
      </c>
      <c r="AH1756" s="103"/>
      <c r="AI1756" s="103"/>
      <c r="AJ1756" s="103"/>
      <c r="AK1756" s="103"/>
      <c r="AL1756" s="103"/>
      <c r="AM1756" s="103"/>
      <c r="AN1756" s="103">
        <v>260</v>
      </c>
      <c r="AO1756" s="103">
        <v>130</v>
      </c>
      <c r="AP1756" s="103">
        <v>360</v>
      </c>
      <c r="AQ1756" s="103"/>
      <c r="AR1756" s="103"/>
      <c r="AS1756" s="103"/>
      <c r="AT1756" s="103"/>
      <c r="AU1756" s="103"/>
      <c r="AV1756" s="103"/>
      <c r="AW1756" s="104" t="str">
        <f>HYPERLINK("http://www.openstreetmap.org/?mlat=36.4853&amp;mlon=42.4221&amp;zoom=12#map=12/36.4853/42.4221","Maplink1")</f>
        <v>Maplink1</v>
      </c>
      <c r="AX1756" s="104" t="str">
        <f>HYPERLINK("https://www.google.iq/maps/search/+36.4853,42.4221/@36.4853,42.4221,14z?hl=en","Maplink2")</f>
        <v>Maplink2</v>
      </c>
      <c r="AY1756" s="104" t="str">
        <f>HYPERLINK("http://www.bing.com/maps/?lvl=14&amp;sty=h&amp;cp=36.4853~42.4221&amp;sp=point.36.4853_42.4221","Maplink3")</f>
        <v>Maplink3</v>
      </c>
    </row>
    <row r="1757" spans="1:51" x14ac:dyDescent="0.2">
      <c r="A1757" s="102">
        <v>23316</v>
      </c>
      <c r="B1757" s="103" t="s">
        <v>35</v>
      </c>
      <c r="C1757" s="103" t="s">
        <v>104</v>
      </c>
      <c r="D1757" s="103" t="s">
        <v>3211</v>
      </c>
      <c r="E1757" s="103" t="s">
        <v>3212</v>
      </c>
      <c r="F1757" s="103">
        <v>36.814773000000002</v>
      </c>
      <c r="G1757" s="103">
        <v>42.376888399099997</v>
      </c>
      <c r="H1757" s="102">
        <v>43</v>
      </c>
      <c r="I1757" s="102">
        <v>258</v>
      </c>
      <c r="J1757" s="103"/>
      <c r="K1757" s="103"/>
      <c r="L1757" s="103"/>
      <c r="M1757" s="103">
        <v>7</v>
      </c>
      <c r="N1757" s="103">
        <v>36</v>
      </c>
      <c r="O1757" s="103"/>
      <c r="P1757" s="103"/>
      <c r="Q1757" s="103"/>
      <c r="R1757" s="103"/>
      <c r="S1757" s="103"/>
      <c r="T1757" s="103"/>
      <c r="U1757" s="103"/>
      <c r="V1757" s="103"/>
      <c r="W1757" s="103"/>
      <c r="X1757" s="103"/>
      <c r="Y1757" s="103"/>
      <c r="Z1757" s="103"/>
      <c r="AA1757" s="103"/>
      <c r="AB1757" s="103"/>
      <c r="AC1757" s="103"/>
      <c r="AD1757" s="103"/>
      <c r="AE1757" s="103"/>
      <c r="AF1757" s="103"/>
      <c r="AG1757" s="103">
        <v>43</v>
      </c>
      <c r="AH1757" s="103"/>
      <c r="AI1757" s="103"/>
      <c r="AJ1757" s="103"/>
      <c r="AK1757" s="103"/>
      <c r="AL1757" s="103"/>
      <c r="AM1757" s="103"/>
      <c r="AN1757" s="103"/>
      <c r="AO1757" s="103"/>
      <c r="AP1757" s="103"/>
      <c r="AQ1757" s="103"/>
      <c r="AR1757" s="103"/>
      <c r="AS1757" s="103"/>
      <c r="AT1757" s="103">
        <v>43</v>
      </c>
      <c r="AU1757" s="103"/>
      <c r="AV1757" s="103"/>
      <c r="AW1757" s="104" t="str">
        <f>HYPERLINK("http://www.openstreetmap.org/?mlat=36.8148&amp;mlon=42.3769&amp;zoom=12#map=12/36.8148/42.3769","Maplink1")</f>
        <v>Maplink1</v>
      </c>
      <c r="AX1757" s="104" t="str">
        <f>HYPERLINK("https://www.google.iq/maps/search/+36.8148,42.3769/@36.8148,42.3769,14z?hl=en","Maplink2")</f>
        <v>Maplink2</v>
      </c>
      <c r="AY1757" s="104" t="str">
        <f>HYPERLINK("http://www.bing.com/maps/?lvl=14&amp;sty=h&amp;cp=36.8148~42.3769&amp;sp=point.36.8148_42.3769","Maplink3")</f>
        <v>Maplink3</v>
      </c>
    </row>
    <row r="1758" spans="1:51" x14ac:dyDescent="0.2">
      <c r="A1758" s="102">
        <v>22924</v>
      </c>
      <c r="B1758" s="103" t="s">
        <v>35</v>
      </c>
      <c r="C1758" s="103" t="s">
        <v>104</v>
      </c>
      <c r="D1758" s="103" t="s">
        <v>3115</v>
      </c>
      <c r="E1758" s="103" t="s">
        <v>3116</v>
      </c>
      <c r="F1758" s="103">
        <v>36.410913999999998</v>
      </c>
      <c r="G1758" s="103">
        <v>42.542980999999997</v>
      </c>
      <c r="H1758" s="102">
        <v>213</v>
      </c>
      <c r="I1758" s="102">
        <v>1278</v>
      </c>
      <c r="J1758" s="103"/>
      <c r="K1758" s="103"/>
      <c r="L1758" s="103">
        <v>3</v>
      </c>
      <c r="M1758" s="103">
        <v>210</v>
      </c>
      <c r="N1758" s="103"/>
      <c r="O1758" s="103"/>
      <c r="P1758" s="103"/>
      <c r="Q1758" s="103"/>
      <c r="R1758" s="103"/>
      <c r="S1758" s="103"/>
      <c r="T1758" s="103"/>
      <c r="U1758" s="103"/>
      <c r="V1758" s="103"/>
      <c r="W1758" s="103"/>
      <c r="X1758" s="103"/>
      <c r="Y1758" s="103"/>
      <c r="Z1758" s="103"/>
      <c r="AA1758" s="103"/>
      <c r="AB1758" s="103"/>
      <c r="AC1758" s="103"/>
      <c r="AD1758" s="103"/>
      <c r="AE1758" s="103"/>
      <c r="AF1758" s="103"/>
      <c r="AG1758" s="103">
        <v>213</v>
      </c>
      <c r="AH1758" s="103"/>
      <c r="AI1758" s="103"/>
      <c r="AJ1758" s="103"/>
      <c r="AK1758" s="103"/>
      <c r="AL1758" s="103"/>
      <c r="AM1758" s="103"/>
      <c r="AN1758" s="103"/>
      <c r="AO1758" s="103"/>
      <c r="AP1758" s="103"/>
      <c r="AQ1758" s="103"/>
      <c r="AR1758" s="103"/>
      <c r="AS1758" s="103">
        <v>213</v>
      </c>
      <c r="AT1758" s="103"/>
      <c r="AU1758" s="103"/>
      <c r="AV1758" s="103"/>
      <c r="AW1758" s="104" t="str">
        <f>HYPERLINK("http://www.openstreetmap.org/?mlat=36.4109&amp;mlon=42.543&amp;zoom=12#map=12/36.4109/42.543","Maplink1")</f>
        <v>Maplink1</v>
      </c>
      <c r="AX1758" s="104" t="str">
        <f>HYPERLINK("https://www.google.iq/maps/search/+36.4109,42.543/@36.4109,42.543,14z?hl=en","Maplink2")</f>
        <v>Maplink2</v>
      </c>
      <c r="AY1758" s="104" t="str">
        <f>HYPERLINK("http://www.bing.com/maps/?lvl=14&amp;sty=h&amp;cp=36.4109~42.543&amp;sp=point.36.4109_42.543","Maplink3")</f>
        <v>Maplink3</v>
      </c>
    </row>
    <row r="1759" spans="1:51" x14ac:dyDescent="0.2">
      <c r="A1759" s="102">
        <v>17580</v>
      </c>
      <c r="B1759" s="103" t="s">
        <v>35</v>
      </c>
      <c r="C1759" s="103" t="s">
        <v>104</v>
      </c>
      <c r="D1759" s="103" t="s">
        <v>3117</v>
      </c>
      <c r="E1759" s="103" t="s">
        <v>3118</v>
      </c>
      <c r="F1759" s="103">
        <v>36.595528020000003</v>
      </c>
      <c r="G1759" s="103">
        <v>42.680299286</v>
      </c>
      <c r="H1759" s="102">
        <v>375</v>
      </c>
      <c r="I1759" s="102">
        <v>2250</v>
      </c>
      <c r="J1759" s="103"/>
      <c r="K1759" s="103"/>
      <c r="L1759" s="103"/>
      <c r="M1759" s="103">
        <v>375</v>
      </c>
      <c r="N1759" s="103"/>
      <c r="O1759" s="103"/>
      <c r="P1759" s="103"/>
      <c r="Q1759" s="103"/>
      <c r="R1759" s="103"/>
      <c r="S1759" s="103"/>
      <c r="T1759" s="103"/>
      <c r="U1759" s="103"/>
      <c r="V1759" s="103"/>
      <c r="W1759" s="103"/>
      <c r="X1759" s="103"/>
      <c r="Y1759" s="103">
        <v>375</v>
      </c>
      <c r="Z1759" s="103"/>
      <c r="AA1759" s="103"/>
      <c r="AB1759" s="103"/>
      <c r="AC1759" s="103"/>
      <c r="AD1759" s="103"/>
      <c r="AE1759" s="103"/>
      <c r="AF1759" s="103"/>
      <c r="AG1759" s="103"/>
      <c r="AH1759" s="103"/>
      <c r="AI1759" s="103"/>
      <c r="AJ1759" s="103"/>
      <c r="AK1759" s="103"/>
      <c r="AL1759" s="103"/>
      <c r="AM1759" s="103"/>
      <c r="AN1759" s="103"/>
      <c r="AO1759" s="103">
        <v>375</v>
      </c>
      <c r="AP1759" s="103"/>
      <c r="AQ1759" s="103"/>
      <c r="AR1759" s="103"/>
      <c r="AS1759" s="103"/>
      <c r="AT1759" s="103"/>
      <c r="AU1759" s="103"/>
      <c r="AV1759" s="103"/>
      <c r="AW1759" s="104" t="str">
        <f>HYPERLINK("http://www.openstreetmap.org/?mlat=36.5955&amp;mlon=42.6803&amp;zoom=12#map=12/36.5955/42.6803","Maplink1")</f>
        <v>Maplink1</v>
      </c>
      <c r="AX1759" s="104" t="str">
        <f>HYPERLINK("https://www.google.iq/maps/search/+36.5955,42.6803/@36.5955,42.6803,14z?hl=en","Maplink2")</f>
        <v>Maplink2</v>
      </c>
      <c r="AY1759" s="104" t="str">
        <f>HYPERLINK("http://www.bing.com/maps/?lvl=14&amp;sty=h&amp;cp=36.5955~42.6803&amp;sp=point.36.5955_42.6803","Maplink3")</f>
        <v>Maplink3</v>
      </c>
    </row>
    <row r="1760" spans="1:51" x14ac:dyDescent="0.2">
      <c r="A1760" s="102">
        <v>25692</v>
      </c>
      <c r="B1760" s="103" t="s">
        <v>35</v>
      </c>
      <c r="C1760" s="103" t="s">
        <v>104</v>
      </c>
      <c r="D1760" s="103" t="s">
        <v>3119</v>
      </c>
      <c r="E1760" s="103" t="s">
        <v>3120</v>
      </c>
      <c r="F1760" s="103">
        <v>36.546283000000003</v>
      </c>
      <c r="G1760" s="103">
        <v>42.487720279000001</v>
      </c>
      <c r="H1760" s="102">
        <v>20</v>
      </c>
      <c r="I1760" s="102">
        <v>120</v>
      </c>
      <c r="J1760" s="103"/>
      <c r="K1760" s="103"/>
      <c r="L1760" s="103"/>
      <c r="M1760" s="103">
        <v>20</v>
      </c>
      <c r="N1760" s="103"/>
      <c r="O1760" s="103"/>
      <c r="P1760" s="103"/>
      <c r="Q1760" s="103"/>
      <c r="R1760" s="103"/>
      <c r="S1760" s="103"/>
      <c r="T1760" s="103"/>
      <c r="U1760" s="103"/>
      <c r="V1760" s="103"/>
      <c r="W1760" s="103"/>
      <c r="X1760" s="103"/>
      <c r="Y1760" s="103"/>
      <c r="Z1760" s="103"/>
      <c r="AA1760" s="103"/>
      <c r="AB1760" s="103"/>
      <c r="AC1760" s="103"/>
      <c r="AD1760" s="103"/>
      <c r="AE1760" s="103"/>
      <c r="AF1760" s="103"/>
      <c r="AG1760" s="103">
        <v>20</v>
      </c>
      <c r="AH1760" s="103"/>
      <c r="AI1760" s="103"/>
      <c r="AJ1760" s="103"/>
      <c r="AK1760" s="103"/>
      <c r="AL1760" s="103"/>
      <c r="AM1760" s="103"/>
      <c r="AN1760" s="103"/>
      <c r="AO1760" s="103"/>
      <c r="AP1760" s="103"/>
      <c r="AQ1760" s="103">
        <v>20</v>
      </c>
      <c r="AR1760" s="103"/>
      <c r="AS1760" s="103"/>
      <c r="AT1760" s="103"/>
      <c r="AU1760" s="103"/>
      <c r="AV1760" s="103"/>
      <c r="AW1760" s="104" t="str">
        <f>HYPERLINK("http://www.openstreetmap.org/?mlat=36.5463&amp;mlon=42.4877&amp;zoom=12#map=12/36.5463/42.4877","Maplink1")</f>
        <v>Maplink1</v>
      </c>
      <c r="AX1760" s="104" t="str">
        <f>HYPERLINK("https://www.google.iq/maps/search/+36.5463,42.4877/@36.5463,42.4877,14z?hl=en","Maplink2")</f>
        <v>Maplink2</v>
      </c>
      <c r="AY1760" s="104" t="str">
        <f>HYPERLINK("http://www.bing.com/maps/?lvl=14&amp;sty=h&amp;cp=36.5463~42.4877&amp;sp=point.36.5463_42.4877","Maplink3")</f>
        <v>Maplink3</v>
      </c>
    </row>
    <row r="1761" spans="1:51" x14ac:dyDescent="0.2">
      <c r="A1761" s="102">
        <v>27356</v>
      </c>
      <c r="B1761" s="103" t="s">
        <v>35</v>
      </c>
      <c r="C1761" s="103" t="s">
        <v>104</v>
      </c>
      <c r="D1761" s="103" t="s">
        <v>3121</v>
      </c>
      <c r="E1761" s="103" t="s">
        <v>3122</v>
      </c>
      <c r="F1761" s="103">
        <v>36.499491291399998</v>
      </c>
      <c r="G1761" s="103">
        <v>42.141033307999997</v>
      </c>
      <c r="H1761" s="102">
        <v>115</v>
      </c>
      <c r="I1761" s="102">
        <v>690</v>
      </c>
      <c r="J1761" s="103"/>
      <c r="K1761" s="103"/>
      <c r="L1761" s="103"/>
      <c r="M1761" s="103">
        <v>115</v>
      </c>
      <c r="N1761" s="103"/>
      <c r="O1761" s="103"/>
      <c r="P1761" s="103"/>
      <c r="Q1761" s="103"/>
      <c r="R1761" s="103"/>
      <c r="S1761" s="103"/>
      <c r="T1761" s="103"/>
      <c r="U1761" s="103"/>
      <c r="V1761" s="103"/>
      <c r="W1761" s="103"/>
      <c r="X1761" s="103"/>
      <c r="Y1761" s="103"/>
      <c r="Z1761" s="103"/>
      <c r="AA1761" s="103"/>
      <c r="AB1761" s="103"/>
      <c r="AC1761" s="103"/>
      <c r="AD1761" s="103"/>
      <c r="AE1761" s="103"/>
      <c r="AF1761" s="103"/>
      <c r="AG1761" s="103">
        <v>115</v>
      </c>
      <c r="AH1761" s="103"/>
      <c r="AI1761" s="103"/>
      <c r="AJ1761" s="103"/>
      <c r="AK1761" s="103"/>
      <c r="AL1761" s="103"/>
      <c r="AM1761" s="103"/>
      <c r="AN1761" s="103"/>
      <c r="AO1761" s="103"/>
      <c r="AP1761" s="103">
        <v>115</v>
      </c>
      <c r="AQ1761" s="103"/>
      <c r="AR1761" s="103"/>
      <c r="AS1761" s="103"/>
      <c r="AT1761" s="103"/>
      <c r="AU1761" s="103"/>
      <c r="AV1761" s="103"/>
      <c r="AW1761" s="104" t="str">
        <f>HYPERLINK("http://www.openstreetmap.org/?mlat=36.4995&amp;mlon=42.141&amp;zoom=12#map=12/36.4995/42.141","Maplink1")</f>
        <v>Maplink1</v>
      </c>
      <c r="AX1761" s="104" t="str">
        <f>HYPERLINK("https://www.google.iq/maps/search/+36.4995,42.141/@36.4995,42.141,14z?hl=en","Maplink2")</f>
        <v>Maplink2</v>
      </c>
      <c r="AY1761" s="104" t="str">
        <f>HYPERLINK("http://www.bing.com/maps/?lvl=14&amp;sty=h&amp;cp=36.4995~42.141&amp;sp=point.36.4995_42.141","Maplink3")</f>
        <v>Maplink3</v>
      </c>
    </row>
    <row r="1762" spans="1:51" x14ac:dyDescent="0.2">
      <c r="A1762" s="102">
        <v>33417</v>
      </c>
      <c r="B1762" s="103" t="s">
        <v>35</v>
      </c>
      <c r="C1762" s="103" t="s">
        <v>104</v>
      </c>
      <c r="D1762" s="103" t="s">
        <v>3123</v>
      </c>
      <c r="E1762" s="103" t="s">
        <v>3124</v>
      </c>
      <c r="F1762" s="103">
        <v>36.518799999999999</v>
      </c>
      <c r="G1762" s="103">
        <v>42.353629179999999</v>
      </c>
      <c r="H1762" s="102">
        <v>200</v>
      </c>
      <c r="I1762" s="102">
        <v>1200</v>
      </c>
      <c r="J1762" s="103"/>
      <c r="K1762" s="103"/>
      <c r="L1762" s="103"/>
      <c r="M1762" s="103">
        <v>175</v>
      </c>
      <c r="N1762" s="103">
        <v>25</v>
      </c>
      <c r="O1762" s="103"/>
      <c r="P1762" s="103"/>
      <c r="Q1762" s="103"/>
      <c r="R1762" s="103"/>
      <c r="S1762" s="103"/>
      <c r="T1762" s="103"/>
      <c r="U1762" s="103"/>
      <c r="V1762" s="103"/>
      <c r="W1762" s="103"/>
      <c r="X1762" s="103"/>
      <c r="Y1762" s="103"/>
      <c r="Z1762" s="103"/>
      <c r="AA1762" s="103"/>
      <c r="AB1762" s="103"/>
      <c r="AC1762" s="103"/>
      <c r="AD1762" s="103"/>
      <c r="AE1762" s="103"/>
      <c r="AF1762" s="103"/>
      <c r="AG1762" s="103">
        <v>200</v>
      </c>
      <c r="AH1762" s="103"/>
      <c r="AI1762" s="103"/>
      <c r="AJ1762" s="103"/>
      <c r="AK1762" s="103"/>
      <c r="AL1762" s="103"/>
      <c r="AM1762" s="103"/>
      <c r="AN1762" s="103"/>
      <c r="AO1762" s="103"/>
      <c r="AP1762" s="103"/>
      <c r="AQ1762" s="103">
        <v>200</v>
      </c>
      <c r="AR1762" s="103"/>
      <c r="AS1762" s="103"/>
      <c r="AT1762" s="103"/>
      <c r="AU1762" s="103"/>
      <c r="AV1762" s="103"/>
      <c r="AW1762" s="104" t="str">
        <f>HYPERLINK("http://www.openstreetmap.org/?mlat=36.5188&amp;mlon=42.3536&amp;zoom=12#map=12/36.5188/42.3536","Maplink1")</f>
        <v>Maplink1</v>
      </c>
      <c r="AX1762" s="104" t="str">
        <f>HYPERLINK("https://www.google.iq/maps/search/+36.5188,42.3536/@36.5188,42.3536,14z?hl=en","Maplink2")</f>
        <v>Maplink2</v>
      </c>
      <c r="AY1762" s="104" t="str">
        <f>HYPERLINK("http://www.bing.com/maps/?lvl=14&amp;sty=h&amp;cp=36.5188~42.3536&amp;sp=point.36.5188_42.3536","Maplink3")</f>
        <v>Maplink3</v>
      </c>
    </row>
    <row r="1763" spans="1:51" x14ac:dyDescent="0.2">
      <c r="A1763" s="102">
        <v>33422</v>
      </c>
      <c r="B1763" s="103" t="s">
        <v>35</v>
      </c>
      <c r="C1763" s="103" t="s">
        <v>104</v>
      </c>
      <c r="D1763" s="103" t="s">
        <v>3125</v>
      </c>
      <c r="E1763" s="103" t="s">
        <v>3126</v>
      </c>
      <c r="F1763" s="103">
        <v>36.691074999999998</v>
      </c>
      <c r="G1763" s="103">
        <v>42.421275740600002</v>
      </c>
      <c r="H1763" s="102">
        <v>81</v>
      </c>
      <c r="I1763" s="102">
        <v>486</v>
      </c>
      <c r="J1763" s="103"/>
      <c r="K1763" s="103"/>
      <c r="L1763" s="103"/>
      <c r="M1763" s="103">
        <v>81</v>
      </c>
      <c r="N1763" s="103"/>
      <c r="O1763" s="103"/>
      <c r="P1763" s="103"/>
      <c r="Q1763" s="103"/>
      <c r="R1763" s="103"/>
      <c r="S1763" s="103"/>
      <c r="T1763" s="103"/>
      <c r="U1763" s="103"/>
      <c r="V1763" s="103"/>
      <c r="W1763" s="103"/>
      <c r="X1763" s="103"/>
      <c r="Y1763" s="103"/>
      <c r="Z1763" s="103"/>
      <c r="AA1763" s="103">
        <v>10</v>
      </c>
      <c r="AB1763" s="103"/>
      <c r="AC1763" s="103">
        <v>21</v>
      </c>
      <c r="AD1763" s="103"/>
      <c r="AE1763" s="103"/>
      <c r="AF1763" s="103"/>
      <c r="AG1763" s="103">
        <v>50</v>
      </c>
      <c r="AH1763" s="103"/>
      <c r="AI1763" s="103"/>
      <c r="AJ1763" s="103"/>
      <c r="AK1763" s="103"/>
      <c r="AL1763" s="103"/>
      <c r="AM1763" s="103"/>
      <c r="AN1763" s="103"/>
      <c r="AO1763" s="103">
        <v>81</v>
      </c>
      <c r="AP1763" s="103"/>
      <c r="AQ1763" s="103"/>
      <c r="AR1763" s="103"/>
      <c r="AS1763" s="103"/>
      <c r="AT1763" s="103"/>
      <c r="AU1763" s="103"/>
      <c r="AV1763" s="103"/>
      <c r="AW1763" s="104" t="str">
        <f>HYPERLINK("http://www.openstreetmap.org/?mlat=36.6911&amp;mlon=42.4213&amp;zoom=12#map=12/36.6911/42.4213","Maplink1")</f>
        <v>Maplink1</v>
      </c>
      <c r="AX1763" s="104" t="str">
        <f>HYPERLINK("https://www.google.iq/maps/search/+36.6911,42.4213/@36.6911,42.4213,14z?hl=en","Maplink2")</f>
        <v>Maplink2</v>
      </c>
      <c r="AY1763" s="104" t="str">
        <f>HYPERLINK("http://www.bing.com/maps/?lvl=14&amp;sty=h&amp;cp=36.6911~42.4213&amp;sp=point.36.6911_42.4213","Maplink3")</f>
        <v>Maplink3</v>
      </c>
    </row>
    <row r="1764" spans="1:51" x14ac:dyDescent="0.2">
      <c r="A1764" s="102">
        <v>21603</v>
      </c>
      <c r="B1764" s="103" t="s">
        <v>35</v>
      </c>
      <c r="C1764" s="103" t="s">
        <v>105</v>
      </c>
      <c r="D1764" s="103" t="s">
        <v>3437</v>
      </c>
      <c r="E1764" s="103" t="s">
        <v>3438</v>
      </c>
      <c r="F1764" s="103">
        <v>36.433560319599998</v>
      </c>
      <c r="G1764" s="103">
        <v>43.155787029099997</v>
      </c>
      <c r="H1764" s="102">
        <v>930</v>
      </c>
      <c r="I1764" s="102">
        <v>5580</v>
      </c>
      <c r="J1764" s="103"/>
      <c r="K1764" s="103"/>
      <c r="L1764" s="103"/>
      <c r="M1764" s="103">
        <v>930</v>
      </c>
      <c r="N1764" s="103"/>
      <c r="O1764" s="103"/>
      <c r="P1764" s="103"/>
      <c r="Q1764" s="103"/>
      <c r="R1764" s="103"/>
      <c r="S1764" s="103"/>
      <c r="T1764" s="103"/>
      <c r="U1764" s="103"/>
      <c r="V1764" s="103"/>
      <c r="W1764" s="103"/>
      <c r="X1764" s="103"/>
      <c r="Y1764" s="103">
        <v>10</v>
      </c>
      <c r="Z1764" s="103"/>
      <c r="AA1764" s="103"/>
      <c r="AB1764" s="103">
        <v>5</v>
      </c>
      <c r="AC1764" s="103"/>
      <c r="AD1764" s="103"/>
      <c r="AE1764" s="103"/>
      <c r="AF1764" s="103">
        <v>30</v>
      </c>
      <c r="AG1764" s="103">
        <v>860</v>
      </c>
      <c r="AH1764" s="103">
        <v>25</v>
      </c>
      <c r="AI1764" s="103"/>
      <c r="AJ1764" s="103"/>
      <c r="AK1764" s="103"/>
      <c r="AL1764" s="103"/>
      <c r="AM1764" s="103"/>
      <c r="AN1764" s="103"/>
      <c r="AO1764" s="103">
        <v>70</v>
      </c>
      <c r="AP1764" s="103"/>
      <c r="AQ1764" s="103"/>
      <c r="AR1764" s="103"/>
      <c r="AS1764" s="103">
        <v>860</v>
      </c>
      <c r="AT1764" s="103"/>
      <c r="AU1764" s="103"/>
      <c r="AV1764" s="103"/>
      <c r="AW1764" s="104" t="str">
        <f>HYPERLINK("http://www.openstreetmap.org/?mlat=36.4336&amp;mlon=43.1558&amp;zoom=12#map=12/36.4336/43.1558","Maplink1")</f>
        <v>Maplink1</v>
      </c>
      <c r="AX1764" s="104" t="str">
        <f>HYPERLINK("https://www.google.iq/maps/search/+36.4336,43.1558/@36.4336,43.1558,14z?hl=en","Maplink2")</f>
        <v>Maplink2</v>
      </c>
      <c r="AY1764" s="104" t="str">
        <f>HYPERLINK("http://www.bing.com/maps/?lvl=14&amp;sty=h&amp;cp=36.4336~43.1558&amp;sp=point.36.4336_43.1558","Maplink3")</f>
        <v>Maplink3</v>
      </c>
    </row>
    <row r="1765" spans="1:51" x14ac:dyDescent="0.2">
      <c r="A1765" s="102">
        <v>17462</v>
      </c>
      <c r="B1765" s="103" t="s">
        <v>35</v>
      </c>
      <c r="C1765" s="103" t="s">
        <v>105</v>
      </c>
      <c r="D1765" s="103" t="s">
        <v>3439</v>
      </c>
      <c r="E1765" s="103" t="s">
        <v>3440</v>
      </c>
      <c r="F1765" s="103">
        <v>36.576425999999998</v>
      </c>
      <c r="G1765" s="103">
        <v>42.801454999999997</v>
      </c>
      <c r="H1765" s="102">
        <v>150</v>
      </c>
      <c r="I1765" s="102">
        <v>900</v>
      </c>
      <c r="J1765" s="103"/>
      <c r="K1765" s="103"/>
      <c r="L1765" s="103"/>
      <c r="M1765" s="103">
        <v>150</v>
      </c>
      <c r="N1765" s="103"/>
      <c r="O1765" s="103"/>
      <c r="P1765" s="103"/>
      <c r="Q1765" s="103"/>
      <c r="R1765" s="103"/>
      <c r="S1765" s="103"/>
      <c r="T1765" s="103"/>
      <c r="U1765" s="103"/>
      <c r="V1765" s="103"/>
      <c r="W1765" s="103"/>
      <c r="X1765" s="103"/>
      <c r="Y1765" s="103"/>
      <c r="Z1765" s="103"/>
      <c r="AA1765" s="103"/>
      <c r="AB1765" s="103"/>
      <c r="AC1765" s="103"/>
      <c r="AD1765" s="103"/>
      <c r="AE1765" s="103"/>
      <c r="AF1765" s="103"/>
      <c r="AG1765" s="103">
        <v>150</v>
      </c>
      <c r="AH1765" s="103"/>
      <c r="AI1765" s="103"/>
      <c r="AJ1765" s="103"/>
      <c r="AK1765" s="103"/>
      <c r="AL1765" s="103"/>
      <c r="AM1765" s="103"/>
      <c r="AN1765" s="103"/>
      <c r="AO1765" s="103">
        <v>150</v>
      </c>
      <c r="AP1765" s="103"/>
      <c r="AQ1765" s="103"/>
      <c r="AR1765" s="103"/>
      <c r="AS1765" s="103"/>
      <c r="AT1765" s="103"/>
      <c r="AU1765" s="103"/>
      <c r="AV1765" s="103"/>
      <c r="AW1765" s="104" t="str">
        <f>HYPERLINK("http://www.openstreetmap.org/?mlat=36.5764&amp;mlon=42.8015&amp;zoom=12#map=12/36.5764/42.8015","Maplink1")</f>
        <v>Maplink1</v>
      </c>
      <c r="AX1765" s="104" t="str">
        <f>HYPERLINK("https://www.google.iq/maps/search/+36.5764,42.8015/@36.5764,42.8015,14z?hl=en","Maplink2")</f>
        <v>Maplink2</v>
      </c>
      <c r="AY1765" s="104" t="str">
        <f>HYPERLINK("http://www.bing.com/maps/?lvl=14&amp;sty=h&amp;cp=36.5764~42.8015&amp;sp=point.36.5764_42.8015","Maplink3")</f>
        <v>Maplink3</v>
      </c>
    </row>
    <row r="1766" spans="1:51" x14ac:dyDescent="0.2">
      <c r="A1766" s="102">
        <v>33444</v>
      </c>
      <c r="B1766" s="103" t="s">
        <v>35</v>
      </c>
      <c r="C1766" s="103" t="s">
        <v>105</v>
      </c>
      <c r="D1766" s="103" t="s">
        <v>3469</v>
      </c>
      <c r="E1766" s="103" t="s">
        <v>3470</v>
      </c>
      <c r="F1766" s="103">
        <v>36.553438</v>
      </c>
      <c r="G1766" s="103">
        <v>42.9326306086</v>
      </c>
      <c r="H1766" s="102">
        <v>105</v>
      </c>
      <c r="I1766" s="102">
        <v>630</v>
      </c>
      <c r="J1766" s="103">
        <v>10</v>
      </c>
      <c r="K1766" s="103"/>
      <c r="L1766" s="103"/>
      <c r="M1766" s="103">
        <v>95</v>
      </c>
      <c r="N1766" s="103"/>
      <c r="O1766" s="103"/>
      <c r="P1766" s="103"/>
      <c r="Q1766" s="103"/>
      <c r="R1766" s="103"/>
      <c r="S1766" s="103"/>
      <c r="T1766" s="103"/>
      <c r="U1766" s="103"/>
      <c r="V1766" s="103"/>
      <c r="W1766" s="103"/>
      <c r="X1766" s="103"/>
      <c r="Y1766" s="103"/>
      <c r="Z1766" s="103"/>
      <c r="AA1766" s="103"/>
      <c r="AB1766" s="103"/>
      <c r="AC1766" s="103"/>
      <c r="AD1766" s="103"/>
      <c r="AE1766" s="103"/>
      <c r="AF1766" s="103"/>
      <c r="AG1766" s="103">
        <v>105</v>
      </c>
      <c r="AH1766" s="103"/>
      <c r="AI1766" s="103"/>
      <c r="AJ1766" s="103"/>
      <c r="AK1766" s="103"/>
      <c r="AL1766" s="103"/>
      <c r="AM1766" s="103"/>
      <c r="AN1766" s="103"/>
      <c r="AO1766" s="103">
        <v>105</v>
      </c>
      <c r="AP1766" s="103"/>
      <c r="AQ1766" s="103"/>
      <c r="AR1766" s="103"/>
      <c r="AS1766" s="103"/>
      <c r="AT1766" s="103"/>
      <c r="AU1766" s="103"/>
      <c r="AV1766" s="103"/>
      <c r="AW1766" s="104" t="str">
        <f>HYPERLINK("http://www.openstreetmap.org/?mlat=36.5534&amp;mlon=42.9326&amp;zoom=12#map=12/36.5534/42.9326","Maplink1")</f>
        <v>Maplink1</v>
      </c>
      <c r="AX1766" s="104" t="str">
        <f>HYPERLINK("https://www.google.iq/maps/search/+36.5534,42.9326/@36.5534,42.9326,14z?hl=en","Maplink2")</f>
        <v>Maplink2</v>
      </c>
      <c r="AY1766" s="104" t="str">
        <f>HYPERLINK("http://www.bing.com/maps/?lvl=14&amp;sty=h&amp;cp=36.5534~42.9326&amp;sp=point.36.5534_42.9326","Maplink3")</f>
        <v>Maplink3</v>
      </c>
    </row>
    <row r="1767" spans="1:51" x14ac:dyDescent="0.2">
      <c r="A1767" s="102">
        <v>33366</v>
      </c>
      <c r="B1767" s="103" t="s">
        <v>35</v>
      </c>
      <c r="C1767" s="103" t="s">
        <v>105</v>
      </c>
      <c r="D1767" s="103" t="s">
        <v>3463</v>
      </c>
      <c r="E1767" s="103" t="s">
        <v>3464</v>
      </c>
      <c r="F1767" s="103">
        <v>36.542952</v>
      </c>
      <c r="G1767" s="103">
        <v>43.0249432058</v>
      </c>
      <c r="H1767" s="102">
        <v>375</v>
      </c>
      <c r="I1767" s="102">
        <v>2250</v>
      </c>
      <c r="J1767" s="103"/>
      <c r="K1767" s="103"/>
      <c r="L1767" s="103"/>
      <c r="M1767" s="103">
        <v>300</v>
      </c>
      <c r="N1767" s="103">
        <v>75</v>
      </c>
      <c r="O1767" s="103"/>
      <c r="P1767" s="103"/>
      <c r="Q1767" s="103"/>
      <c r="R1767" s="103"/>
      <c r="S1767" s="103"/>
      <c r="T1767" s="103"/>
      <c r="U1767" s="103"/>
      <c r="V1767" s="103"/>
      <c r="W1767" s="103"/>
      <c r="X1767" s="103"/>
      <c r="Y1767" s="103"/>
      <c r="Z1767" s="103"/>
      <c r="AA1767" s="103"/>
      <c r="AB1767" s="103"/>
      <c r="AC1767" s="103"/>
      <c r="AD1767" s="103"/>
      <c r="AE1767" s="103"/>
      <c r="AF1767" s="103"/>
      <c r="AG1767" s="103">
        <v>375</v>
      </c>
      <c r="AH1767" s="103"/>
      <c r="AI1767" s="103"/>
      <c r="AJ1767" s="103"/>
      <c r="AK1767" s="103"/>
      <c r="AL1767" s="103"/>
      <c r="AM1767" s="103"/>
      <c r="AN1767" s="103"/>
      <c r="AO1767" s="103">
        <v>375</v>
      </c>
      <c r="AP1767" s="103"/>
      <c r="AQ1767" s="103"/>
      <c r="AR1767" s="103"/>
      <c r="AS1767" s="103"/>
      <c r="AT1767" s="103"/>
      <c r="AU1767" s="103"/>
      <c r="AV1767" s="103"/>
      <c r="AW1767" s="104" t="str">
        <f>HYPERLINK("http://www.openstreetmap.org/?mlat=36.543&amp;mlon=43.0249&amp;zoom=12#map=12/36.543/43.0249","Maplink1")</f>
        <v>Maplink1</v>
      </c>
      <c r="AX1767" s="104" t="str">
        <f>HYPERLINK("https://www.google.iq/maps/search/+36.543,43.0249/@36.543,43.0249,14z?hl=en","Maplink2")</f>
        <v>Maplink2</v>
      </c>
      <c r="AY1767" s="104" t="str">
        <f>HYPERLINK("http://www.bing.com/maps/?lvl=14&amp;sty=h&amp;cp=36.543~43.0249&amp;sp=point.36.543_43.0249","Maplink3")</f>
        <v>Maplink3</v>
      </c>
    </row>
    <row r="1768" spans="1:51" x14ac:dyDescent="0.2">
      <c r="A1768" s="102">
        <v>17567</v>
      </c>
      <c r="B1768" s="103" t="s">
        <v>35</v>
      </c>
      <c r="C1768" s="103" t="s">
        <v>105</v>
      </c>
      <c r="D1768" s="103" t="s">
        <v>3465</v>
      </c>
      <c r="E1768" s="103" t="s">
        <v>3466</v>
      </c>
      <c r="F1768" s="103">
        <v>36.517493000000002</v>
      </c>
      <c r="G1768" s="103">
        <v>43.007393434000001</v>
      </c>
      <c r="H1768" s="102">
        <v>222</v>
      </c>
      <c r="I1768" s="102">
        <v>1332</v>
      </c>
      <c r="J1768" s="103"/>
      <c r="K1768" s="103"/>
      <c r="L1768" s="103"/>
      <c r="M1768" s="103">
        <v>222</v>
      </c>
      <c r="N1768" s="103"/>
      <c r="O1768" s="103"/>
      <c r="P1768" s="103"/>
      <c r="Q1768" s="103"/>
      <c r="R1768" s="103"/>
      <c r="S1768" s="103"/>
      <c r="T1768" s="103"/>
      <c r="U1768" s="103"/>
      <c r="V1768" s="103"/>
      <c r="W1768" s="103"/>
      <c r="X1768" s="103"/>
      <c r="Y1768" s="103"/>
      <c r="Z1768" s="103"/>
      <c r="AA1768" s="103"/>
      <c r="AB1768" s="103"/>
      <c r="AC1768" s="103"/>
      <c r="AD1768" s="103"/>
      <c r="AE1768" s="103"/>
      <c r="AF1768" s="103"/>
      <c r="AG1768" s="103">
        <v>222</v>
      </c>
      <c r="AH1768" s="103"/>
      <c r="AI1768" s="103"/>
      <c r="AJ1768" s="103"/>
      <c r="AK1768" s="103"/>
      <c r="AL1768" s="103"/>
      <c r="AM1768" s="103"/>
      <c r="AN1768" s="103"/>
      <c r="AO1768" s="103">
        <v>222</v>
      </c>
      <c r="AP1768" s="103"/>
      <c r="AQ1768" s="103"/>
      <c r="AR1768" s="103"/>
      <c r="AS1768" s="103"/>
      <c r="AT1768" s="103"/>
      <c r="AU1768" s="103"/>
      <c r="AV1768" s="103"/>
      <c r="AW1768" s="104" t="str">
        <f>HYPERLINK("http://www.openstreetmap.org/?mlat=36.5175&amp;mlon=43.0074&amp;zoom=12#map=12/36.5175/43.0074","Maplink1")</f>
        <v>Maplink1</v>
      </c>
      <c r="AX1768" s="104" t="str">
        <f>HYPERLINK("https://www.google.iq/maps/search/+36.5175,43.0074/@36.5175,43.0074,14z?hl=en","Maplink2")</f>
        <v>Maplink2</v>
      </c>
      <c r="AY1768" s="104" t="str">
        <f>HYPERLINK("http://www.bing.com/maps/?lvl=14&amp;sty=h&amp;cp=36.5175~43.0074&amp;sp=point.36.5175_43.0074","Maplink3")</f>
        <v>Maplink3</v>
      </c>
    </row>
    <row r="1769" spans="1:51" x14ac:dyDescent="0.2">
      <c r="A1769" s="102">
        <v>17949</v>
      </c>
      <c r="B1769" s="103" t="s">
        <v>35</v>
      </c>
      <c r="C1769" s="103" t="s">
        <v>105</v>
      </c>
      <c r="D1769" s="103" t="s">
        <v>3425</v>
      </c>
      <c r="E1769" s="103" t="s">
        <v>3426</v>
      </c>
      <c r="F1769" s="103">
        <v>36.677260548299998</v>
      </c>
      <c r="G1769" s="103">
        <v>43.015714482999996</v>
      </c>
      <c r="H1769" s="102">
        <v>250</v>
      </c>
      <c r="I1769" s="102">
        <v>1500</v>
      </c>
      <c r="J1769" s="103"/>
      <c r="K1769" s="103"/>
      <c r="L1769" s="103"/>
      <c r="M1769" s="103">
        <v>250</v>
      </c>
      <c r="N1769" s="103"/>
      <c r="O1769" s="103"/>
      <c r="P1769" s="103"/>
      <c r="Q1769" s="103"/>
      <c r="R1769" s="103"/>
      <c r="S1769" s="103"/>
      <c r="T1769" s="103"/>
      <c r="U1769" s="103"/>
      <c r="V1769" s="103"/>
      <c r="W1769" s="103"/>
      <c r="X1769" s="103"/>
      <c r="Y1769" s="103"/>
      <c r="Z1769" s="103"/>
      <c r="AA1769" s="103"/>
      <c r="AB1769" s="103"/>
      <c r="AC1769" s="103"/>
      <c r="AD1769" s="103"/>
      <c r="AE1769" s="103"/>
      <c r="AF1769" s="103"/>
      <c r="AG1769" s="103">
        <v>250</v>
      </c>
      <c r="AH1769" s="103"/>
      <c r="AI1769" s="103"/>
      <c r="AJ1769" s="103"/>
      <c r="AK1769" s="103"/>
      <c r="AL1769" s="103"/>
      <c r="AM1769" s="103"/>
      <c r="AN1769" s="103"/>
      <c r="AO1769" s="103">
        <v>250</v>
      </c>
      <c r="AP1769" s="103"/>
      <c r="AQ1769" s="103"/>
      <c r="AR1769" s="103"/>
      <c r="AS1769" s="103"/>
      <c r="AT1769" s="103"/>
      <c r="AU1769" s="103"/>
      <c r="AV1769" s="103"/>
      <c r="AW1769" s="104" t="str">
        <f>HYPERLINK("http://www.openstreetmap.org/?mlat=36.6773&amp;mlon=43.0157&amp;zoom=12#map=12/36.6773/43.0157","Maplink1")</f>
        <v>Maplink1</v>
      </c>
      <c r="AX1769" s="104" t="str">
        <f>HYPERLINK("https://www.google.iq/maps/search/+36.6773,43.0157/@36.6773,43.0157,14z?hl=en","Maplink2")</f>
        <v>Maplink2</v>
      </c>
      <c r="AY1769" s="104" t="str">
        <f>HYPERLINK("http://www.bing.com/maps/?lvl=14&amp;sty=h&amp;cp=36.6773~43.0157&amp;sp=point.36.6773_43.0157","Maplink3")</f>
        <v>Maplink3</v>
      </c>
    </row>
    <row r="1770" spans="1:51" x14ac:dyDescent="0.2">
      <c r="A1770" s="102">
        <v>33445</v>
      </c>
      <c r="B1770" s="103" t="s">
        <v>35</v>
      </c>
      <c r="C1770" s="103" t="s">
        <v>105</v>
      </c>
      <c r="D1770" s="103" t="s">
        <v>3427</v>
      </c>
      <c r="E1770" s="103" t="s">
        <v>3428</v>
      </c>
      <c r="F1770" s="103">
        <v>36.534599999999998</v>
      </c>
      <c r="G1770" s="103">
        <v>42.951955062400003</v>
      </c>
      <c r="H1770" s="102">
        <v>205</v>
      </c>
      <c r="I1770" s="102">
        <v>1230</v>
      </c>
      <c r="J1770" s="103">
        <v>18</v>
      </c>
      <c r="K1770" s="103"/>
      <c r="L1770" s="103"/>
      <c r="M1770" s="103">
        <v>152</v>
      </c>
      <c r="N1770" s="103">
        <v>35</v>
      </c>
      <c r="O1770" s="103"/>
      <c r="P1770" s="103"/>
      <c r="Q1770" s="103"/>
      <c r="R1770" s="103"/>
      <c r="S1770" s="103"/>
      <c r="T1770" s="103"/>
      <c r="U1770" s="103"/>
      <c r="V1770" s="103"/>
      <c r="W1770" s="103"/>
      <c r="X1770" s="103"/>
      <c r="Y1770" s="103"/>
      <c r="Z1770" s="103"/>
      <c r="AA1770" s="103"/>
      <c r="AB1770" s="103"/>
      <c r="AC1770" s="103"/>
      <c r="AD1770" s="103"/>
      <c r="AE1770" s="103"/>
      <c r="AF1770" s="103"/>
      <c r="AG1770" s="103">
        <v>205</v>
      </c>
      <c r="AH1770" s="103"/>
      <c r="AI1770" s="103"/>
      <c r="AJ1770" s="103"/>
      <c r="AK1770" s="103"/>
      <c r="AL1770" s="103"/>
      <c r="AM1770" s="103"/>
      <c r="AN1770" s="103"/>
      <c r="AO1770" s="103">
        <v>205</v>
      </c>
      <c r="AP1770" s="103"/>
      <c r="AQ1770" s="103"/>
      <c r="AR1770" s="103"/>
      <c r="AS1770" s="103"/>
      <c r="AT1770" s="103"/>
      <c r="AU1770" s="103"/>
      <c r="AV1770" s="103"/>
      <c r="AW1770" s="104" t="str">
        <f>HYPERLINK("http://www.openstreetmap.org/?mlat=36.5346&amp;mlon=42.952&amp;zoom=12#map=12/36.5346/42.952","Maplink1")</f>
        <v>Maplink1</v>
      </c>
      <c r="AX1770" s="104" t="str">
        <f>HYPERLINK("https://www.google.iq/maps/search/+36.5346,42.952/@36.5346,42.952,14z?hl=en","Maplink2")</f>
        <v>Maplink2</v>
      </c>
      <c r="AY1770" s="104" t="str">
        <f>HYPERLINK("http://www.bing.com/maps/?lvl=14&amp;sty=h&amp;cp=36.5346~42.952&amp;sp=point.36.5346_42.952","Maplink3")</f>
        <v>Maplink3</v>
      </c>
    </row>
    <row r="1771" spans="1:51" x14ac:dyDescent="0.2">
      <c r="A1771" s="102">
        <v>17566</v>
      </c>
      <c r="B1771" s="103" t="s">
        <v>35</v>
      </c>
      <c r="C1771" s="103" t="s">
        <v>105</v>
      </c>
      <c r="D1771" s="103" t="s">
        <v>3467</v>
      </c>
      <c r="E1771" s="103" t="s">
        <v>3468</v>
      </c>
      <c r="F1771" s="103">
        <v>36.544714999999997</v>
      </c>
      <c r="G1771" s="103">
        <v>42.882975999999999</v>
      </c>
      <c r="H1771" s="102">
        <v>181</v>
      </c>
      <c r="I1771" s="102">
        <v>1086</v>
      </c>
      <c r="J1771" s="103"/>
      <c r="K1771" s="103"/>
      <c r="L1771" s="103"/>
      <c r="M1771" s="103">
        <v>181</v>
      </c>
      <c r="N1771" s="103"/>
      <c r="O1771" s="103"/>
      <c r="P1771" s="103"/>
      <c r="Q1771" s="103"/>
      <c r="R1771" s="103"/>
      <c r="S1771" s="103"/>
      <c r="T1771" s="103"/>
      <c r="U1771" s="103"/>
      <c r="V1771" s="103"/>
      <c r="W1771" s="103"/>
      <c r="X1771" s="103"/>
      <c r="Y1771" s="103"/>
      <c r="Z1771" s="103"/>
      <c r="AA1771" s="103"/>
      <c r="AB1771" s="103"/>
      <c r="AC1771" s="103"/>
      <c r="AD1771" s="103"/>
      <c r="AE1771" s="103"/>
      <c r="AF1771" s="103"/>
      <c r="AG1771" s="103">
        <v>181</v>
      </c>
      <c r="AH1771" s="103"/>
      <c r="AI1771" s="103"/>
      <c r="AJ1771" s="103"/>
      <c r="AK1771" s="103"/>
      <c r="AL1771" s="103"/>
      <c r="AM1771" s="103"/>
      <c r="AN1771" s="103"/>
      <c r="AO1771" s="103">
        <v>181</v>
      </c>
      <c r="AP1771" s="103"/>
      <c r="AQ1771" s="103"/>
      <c r="AR1771" s="103"/>
      <c r="AS1771" s="103"/>
      <c r="AT1771" s="103"/>
      <c r="AU1771" s="103"/>
      <c r="AV1771" s="103"/>
      <c r="AW1771" s="104" t="str">
        <f>HYPERLINK("http://www.openstreetmap.org/?mlat=36.5447&amp;mlon=42.883&amp;zoom=12#map=12/36.5447/42.883","Maplink1")</f>
        <v>Maplink1</v>
      </c>
      <c r="AX1771" s="104" t="str">
        <f>HYPERLINK("https://www.google.iq/maps/search/+36.5447,42.883/@36.5447,42.883,14z?hl=en","Maplink2")</f>
        <v>Maplink2</v>
      </c>
      <c r="AY1771" s="104" t="str">
        <f>HYPERLINK("http://www.bing.com/maps/?lvl=14&amp;sty=h&amp;cp=36.5447~42.883&amp;sp=point.36.5447_42.883","Maplink3")</f>
        <v>Maplink3</v>
      </c>
    </row>
    <row r="1772" spans="1:51" x14ac:dyDescent="0.2">
      <c r="A1772" s="102">
        <v>24682</v>
      </c>
      <c r="B1772" s="103" t="s">
        <v>35</v>
      </c>
      <c r="C1772" s="103" t="s">
        <v>105</v>
      </c>
      <c r="D1772" s="103" t="s">
        <v>3453</v>
      </c>
      <c r="E1772" s="103" t="s">
        <v>3454</v>
      </c>
      <c r="F1772" s="103">
        <v>36.402088839699999</v>
      </c>
      <c r="G1772" s="103">
        <v>43.043965922300004</v>
      </c>
      <c r="H1772" s="102">
        <v>3600</v>
      </c>
      <c r="I1772" s="102">
        <v>21600</v>
      </c>
      <c r="J1772" s="103"/>
      <c r="K1772" s="103"/>
      <c r="L1772" s="103"/>
      <c r="M1772" s="103">
        <v>3600</v>
      </c>
      <c r="N1772" s="103"/>
      <c r="O1772" s="103"/>
      <c r="P1772" s="103"/>
      <c r="Q1772" s="103"/>
      <c r="R1772" s="103"/>
      <c r="S1772" s="103"/>
      <c r="T1772" s="103"/>
      <c r="U1772" s="103"/>
      <c r="V1772" s="103">
        <v>170</v>
      </c>
      <c r="W1772" s="103">
        <v>90</v>
      </c>
      <c r="X1772" s="103">
        <v>215</v>
      </c>
      <c r="Y1772" s="103">
        <v>25</v>
      </c>
      <c r="Z1772" s="103"/>
      <c r="AA1772" s="103"/>
      <c r="AB1772" s="103">
        <v>930</v>
      </c>
      <c r="AC1772" s="103"/>
      <c r="AD1772" s="103">
        <v>80</v>
      </c>
      <c r="AE1772" s="103"/>
      <c r="AF1772" s="103">
        <v>875</v>
      </c>
      <c r="AG1772" s="103">
        <v>1050</v>
      </c>
      <c r="AH1772" s="103"/>
      <c r="AI1772" s="103"/>
      <c r="AJ1772" s="103"/>
      <c r="AK1772" s="103">
        <v>165</v>
      </c>
      <c r="AL1772" s="103"/>
      <c r="AM1772" s="103"/>
      <c r="AN1772" s="103"/>
      <c r="AO1772" s="103">
        <v>2550</v>
      </c>
      <c r="AP1772" s="103"/>
      <c r="AQ1772" s="103"/>
      <c r="AR1772" s="103"/>
      <c r="AS1772" s="103">
        <v>1050</v>
      </c>
      <c r="AT1772" s="103"/>
      <c r="AU1772" s="103"/>
      <c r="AV1772" s="103"/>
      <c r="AW1772" s="104" t="str">
        <f>HYPERLINK("http://www.openstreetmap.org/?mlat=36.4021&amp;mlon=43.044&amp;zoom=12#map=12/36.4021/43.044","Maplink1")</f>
        <v>Maplink1</v>
      </c>
      <c r="AX1772" s="104" t="str">
        <f>HYPERLINK("https://www.google.iq/maps/search/+36.4021,43.044/@36.4021,43.044,14z?hl=en","Maplink2")</f>
        <v>Maplink2</v>
      </c>
      <c r="AY1772" s="104" t="str">
        <f>HYPERLINK("http://www.bing.com/maps/?lvl=14&amp;sty=h&amp;cp=36.4021~43.044&amp;sp=point.36.4021_43.044","Maplink3")</f>
        <v>Maplink3</v>
      </c>
    </row>
    <row r="1773" spans="1:51" x14ac:dyDescent="0.2">
      <c r="A1773" s="102">
        <v>17585</v>
      </c>
      <c r="B1773" s="103" t="s">
        <v>35</v>
      </c>
      <c r="C1773" s="103" t="s">
        <v>105</v>
      </c>
      <c r="D1773" s="103" t="s">
        <v>3455</v>
      </c>
      <c r="E1773" s="103" t="s">
        <v>3456</v>
      </c>
      <c r="F1773" s="103">
        <v>36.511921000000001</v>
      </c>
      <c r="G1773" s="103">
        <v>42.998106</v>
      </c>
      <c r="H1773" s="102">
        <v>70</v>
      </c>
      <c r="I1773" s="102">
        <v>420</v>
      </c>
      <c r="J1773" s="103"/>
      <c r="K1773" s="103"/>
      <c r="L1773" s="103"/>
      <c r="M1773" s="103">
        <v>70</v>
      </c>
      <c r="N1773" s="103"/>
      <c r="O1773" s="103"/>
      <c r="P1773" s="103"/>
      <c r="Q1773" s="103"/>
      <c r="R1773" s="103"/>
      <c r="S1773" s="103"/>
      <c r="T1773" s="103"/>
      <c r="U1773" s="103"/>
      <c r="V1773" s="103"/>
      <c r="W1773" s="103"/>
      <c r="X1773" s="103"/>
      <c r="Y1773" s="103"/>
      <c r="Z1773" s="103"/>
      <c r="AA1773" s="103"/>
      <c r="AB1773" s="103"/>
      <c r="AC1773" s="103"/>
      <c r="AD1773" s="103"/>
      <c r="AE1773" s="103"/>
      <c r="AF1773" s="103"/>
      <c r="AG1773" s="103">
        <v>70</v>
      </c>
      <c r="AH1773" s="103"/>
      <c r="AI1773" s="103"/>
      <c r="AJ1773" s="103"/>
      <c r="AK1773" s="103"/>
      <c r="AL1773" s="103"/>
      <c r="AM1773" s="103"/>
      <c r="AN1773" s="103"/>
      <c r="AO1773" s="103">
        <v>70</v>
      </c>
      <c r="AP1773" s="103"/>
      <c r="AQ1773" s="103"/>
      <c r="AR1773" s="103"/>
      <c r="AS1773" s="103"/>
      <c r="AT1773" s="103"/>
      <c r="AU1773" s="103"/>
      <c r="AV1773" s="103"/>
      <c r="AW1773" s="104" t="str">
        <f>HYPERLINK("http://www.openstreetmap.org/?mlat=36.5119&amp;mlon=42.9981&amp;zoom=12#map=12/36.5119/42.9981","Maplink1")</f>
        <v>Maplink1</v>
      </c>
      <c r="AX1773" s="104" t="str">
        <f>HYPERLINK("https://www.google.iq/maps/search/+36.5119,42.9981/@36.5119,42.9981,14z?hl=en","Maplink2")</f>
        <v>Maplink2</v>
      </c>
      <c r="AY1773" s="104" t="str">
        <f>HYPERLINK("http://www.bing.com/maps/?lvl=14&amp;sty=h&amp;cp=36.5119~42.9981&amp;sp=point.36.5119_42.9981","Maplink3")</f>
        <v>Maplink3</v>
      </c>
    </row>
    <row r="1774" spans="1:51" x14ac:dyDescent="0.2">
      <c r="A1774" s="102">
        <v>17940</v>
      </c>
      <c r="B1774" s="103" t="s">
        <v>35</v>
      </c>
      <c r="C1774" s="103" t="s">
        <v>105</v>
      </c>
      <c r="D1774" s="103" t="s">
        <v>3457</v>
      </c>
      <c r="E1774" s="103" t="s">
        <v>3458</v>
      </c>
      <c r="F1774" s="103">
        <v>36.574355799999999</v>
      </c>
      <c r="G1774" s="103">
        <v>42.798314699999999</v>
      </c>
      <c r="H1774" s="102">
        <v>102</v>
      </c>
      <c r="I1774" s="102">
        <v>612</v>
      </c>
      <c r="J1774" s="103"/>
      <c r="K1774" s="103"/>
      <c r="L1774" s="103"/>
      <c r="M1774" s="103">
        <v>102</v>
      </c>
      <c r="N1774" s="103"/>
      <c r="O1774" s="103"/>
      <c r="P1774" s="103"/>
      <c r="Q1774" s="103"/>
      <c r="R1774" s="103"/>
      <c r="S1774" s="103"/>
      <c r="T1774" s="103"/>
      <c r="U1774" s="103"/>
      <c r="V1774" s="103"/>
      <c r="W1774" s="103"/>
      <c r="X1774" s="103"/>
      <c r="Y1774" s="103"/>
      <c r="Z1774" s="103"/>
      <c r="AA1774" s="103"/>
      <c r="AB1774" s="103"/>
      <c r="AC1774" s="103"/>
      <c r="AD1774" s="103"/>
      <c r="AE1774" s="103"/>
      <c r="AF1774" s="103"/>
      <c r="AG1774" s="103">
        <v>102</v>
      </c>
      <c r="AH1774" s="103"/>
      <c r="AI1774" s="103"/>
      <c r="AJ1774" s="103"/>
      <c r="AK1774" s="103"/>
      <c r="AL1774" s="103"/>
      <c r="AM1774" s="103"/>
      <c r="AN1774" s="103"/>
      <c r="AO1774" s="103">
        <v>102</v>
      </c>
      <c r="AP1774" s="103"/>
      <c r="AQ1774" s="103"/>
      <c r="AR1774" s="103"/>
      <c r="AS1774" s="103"/>
      <c r="AT1774" s="103"/>
      <c r="AU1774" s="103"/>
      <c r="AV1774" s="103"/>
      <c r="AW1774" s="104" t="str">
        <f>HYPERLINK("http://www.openstreetmap.org/?mlat=36.5744&amp;mlon=42.7983&amp;zoom=12#map=12/36.5744/42.7983","Maplink1")</f>
        <v>Maplink1</v>
      </c>
      <c r="AX1774" s="104" t="str">
        <f>HYPERLINK("https://www.google.iq/maps/search/+36.5744,42.7983/@36.5744,42.7983,14z?hl=en","Maplink2")</f>
        <v>Maplink2</v>
      </c>
      <c r="AY1774" s="104" t="str">
        <f>HYPERLINK("http://www.bing.com/maps/?lvl=14&amp;sty=h&amp;cp=36.5744~42.7983&amp;sp=point.36.5744_42.7983","Maplink3")</f>
        <v>Maplink3</v>
      </c>
    </row>
    <row r="1775" spans="1:51" x14ac:dyDescent="0.2">
      <c r="A1775" s="102">
        <v>17931</v>
      </c>
      <c r="B1775" s="103" t="s">
        <v>35</v>
      </c>
      <c r="C1775" s="103" t="s">
        <v>105</v>
      </c>
      <c r="D1775" s="103" t="s">
        <v>3385</v>
      </c>
      <c r="E1775" s="103" t="s">
        <v>3386</v>
      </c>
      <c r="F1775" s="103">
        <v>36.609168925299997</v>
      </c>
      <c r="G1775" s="103">
        <v>42.9855099149</v>
      </c>
      <c r="H1775" s="102">
        <v>383</v>
      </c>
      <c r="I1775" s="102">
        <v>2298</v>
      </c>
      <c r="J1775" s="103"/>
      <c r="K1775" s="103"/>
      <c r="L1775" s="103"/>
      <c r="M1775" s="103">
        <v>383</v>
      </c>
      <c r="N1775" s="103"/>
      <c r="O1775" s="103"/>
      <c r="P1775" s="103"/>
      <c r="Q1775" s="103"/>
      <c r="R1775" s="103"/>
      <c r="S1775" s="103"/>
      <c r="T1775" s="103"/>
      <c r="U1775" s="103"/>
      <c r="V1775" s="103"/>
      <c r="W1775" s="103"/>
      <c r="X1775" s="103"/>
      <c r="Y1775" s="103">
        <v>287</v>
      </c>
      <c r="Z1775" s="103"/>
      <c r="AA1775" s="103"/>
      <c r="AB1775" s="103"/>
      <c r="AC1775" s="103"/>
      <c r="AD1775" s="103"/>
      <c r="AE1775" s="103"/>
      <c r="AF1775" s="103"/>
      <c r="AG1775" s="103">
        <v>96</v>
      </c>
      <c r="AH1775" s="103"/>
      <c r="AI1775" s="103"/>
      <c r="AJ1775" s="103"/>
      <c r="AK1775" s="103"/>
      <c r="AL1775" s="103"/>
      <c r="AM1775" s="103"/>
      <c r="AN1775" s="103"/>
      <c r="AO1775" s="103">
        <v>383</v>
      </c>
      <c r="AP1775" s="103"/>
      <c r="AQ1775" s="103"/>
      <c r="AR1775" s="103"/>
      <c r="AS1775" s="103"/>
      <c r="AT1775" s="103"/>
      <c r="AU1775" s="103"/>
      <c r="AV1775" s="103"/>
      <c r="AW1775" s="104" t="str">
        <f>HYPERLINK("http://www.openstreetmap.org/?mlat=36.6092&amp;mlon=42.9855&amp;zoom=12#map=12/36.6092/42.9855","Maplink1")</f>
        <v>Maplink1</v>
      </c>
      <c r="AX1775" s="104" t="str">
        <f>HYPERLINK("https://www.google.iq/maps/search/+36.6092,42.9855/@36.6092,42.9855,14z?hl=en","Maplink2")</f>
        <v>Maplink2</v>
      </c>
      <c r="AY1775" s="104" t="str">
        <f>HYPERLINK("http://www.bing.com/maps/?lvl=14&amp;sty=h&amp;cp=36.6092~42.9855&amp;sp=point.36.6092_42.9855","Maplink3")</f>
        <v>Maplink3</v>
      </c>
    </row>
    <row r="1776" spans="1:51" x14ac:dyDescent="0.2">
      <c r="A1776" s="102">
        <v>33713</v>
      </c>
      <c r="B1776" s="103" t="s">
        <v>35</v>
      </c>
      <c r="C1776" s="103" t="s">
        <v>105</v>
      </c>
      <c r="D1776" s="103" t="s">
        <v>3387</v>
      </c>
      <c r="E1776" s="103" t="s">
        <v>3388</v>
      </c>
      <c r="F1776" s="103">
        <v>36.609381999999997</v>
      </c>
      <c r="G1776" s="103">
        <v>42.875886315499997</v>
      </c>
      <c r="H1776" s="102">
        <v>30</v>
      </c>
      <c r="I1776" s="102">
        <v>180</v>
      </c>
      <c r="J1776" s="103"/>
      <c r="K1776" s="103"/>
      <c r="L1776" s="103"/>
      <c r="M1776" s="103">
        <v>30</v>
      </c>
      <c r="N1776" s="103"/>
      <c r="O1776" s="103"/>
      <c r="P1776" s="103"/>
      <c r="Q1776" s="103"/>
      <c r="R1776" s="103"/>
      <c r="S1776" s="103"/>
      <c r="T1776" s="103"/>
      <c r="U1776" s="103"/>
      <c r="V1776" s="103"/>
      <c r="W1776" s="103"/>
      <c r="X1776" s="103"/>
      <c r="Y1776" s="103">
        <v>30</v>
      </c>
      <c r="Z1776" s="103"/>
      <c r="AA1776" s="103"/>
      <c r="AB1776" s="103"/>
      <c r="AC1776" s="103"/>
      <c r="AD1776" s="103"/>
      <c r="AE1776" s="103"/>
      <c r="AF1776" s="103"/>
      <c r="AG1776" s="103"/>
      <c r="AH1776" s="103"/>
      <c r="AI1776" s="103"/>
      <c r="AJ1776" s="103"/>
      <c r="AK1776" s="103"/>
      <c r="AL1776" s="103"/>
      <c r="AM1776" s="103"/>
      <c r="AN1776" s="103"/>
      <c r="AO1776" s="103">
        <v>30</v>
      </c>
      <c r="AP1776" s="103"/>
      <c r="AQ1776" s="103"/>
      <c r="AR1776" s="103"/>
      <c r="AS1776" s="103"/>
      <c r="AT1776" s="103"/>
      <c r="AU1776" s="103"/>
      <c r="AV1776" s="103"/>
      <c r="AW1776" s="104" t="str">
        <f>HYPERLINK("http://www.openstreetmap.org/?mlat=36.6094&amp;mlon=42.8759&amp;zoom=12#map=12/36.6094/42.8759","Maplink1")</f>
        <v>Maplink1</v>
      </c>
      <c r="AX1776" s="104" t="str">
        <f>HYPERLINK("https://www.google.iq/maps/search/+36.6094,42.8759/@36.6094,42.8759,14z?hl=en","Maplink2")</f>
        <v>Maplink2</v>
      </c>
      <c r="AY1776" s="104" t="str">
        <f>HYPERLINK("http://www.bing.com/maps/?lvl=14&amp;sty=h&amp;cp=36.6094~42.8759&amp;sp=point.36.6094_42.8759","Maplink3")</f>
        <v>Maplink3</v>
      </c>
    </row>
    <row r="1777" spans="1:51" x14ac:dyDescent="0.2">
      <c r="A1777" s="102">
        <v>18046</v>
      </c>
      <c r="B1777" s="103" t="s">
        <v>35</v>
      </c>
      <c r="C1777" s="103" t="s">
        <v>105</v>
      </c>
      <c r="D1777" s="103" t="s">
        <v>3443</v>
      </c>
      <c r="E1777" s="103" t="s">
        <v>3444</v>
      </c>
      <c r="F1777" s="103">
        <v>36.615423998899999</v>
      </c>
      <c r="G1777" s="103">
        <v>42.989930244599996</v>
      </c>
      <c r="H1777" s="102">
        <v>300</v>
      </c>
      <c r="I1777" s="102">
        <v>1800</v>
      </c>
      <c r="J1777" s="103"/>
      <c r="K1777" s="103"/>
      <c r="L1777" s="103"/>
      <c r="M1777" s="103">
        <v>300</v>
      </c>
      <c r="N1777" s="103"/>
      <c r="O1777" s="103"/>
      <c r="P1777" s="103"/>
      <c r="Q1777" s="103"/>
      <c r="R1777" s="103"/>
      <c r="S1777" s="103"/>
      <c r="T1777" s="103"/>
      <c r="U1777" s="103"/>
      <c r="V1777" s="103"/>
      <c r="W1777" s="103"/>
      <c r="X1777" s="103"/>
      <c r="Y1777" s="103">
        <v>300</v>
      </c>
      <c r="Z1777" s="103"/>
      <c r="AA1777" s="103"/>
      <c r="AB1777" s="103"/>
      <c r="AC1777" s="103"/>
      <c r="AD1777" s="103"/>
      <c r="AE1777" s="103"/>
      <c r="AF1777" s="103"/>
      <c r="AG1777" s="103"/>
      <c r="AH1777" s="103"/>
      <c r="AI1777" s="103"/>
      <c r="AJ1777" s="103"/>
      <c r="AK1777" s="103"/>
      <c r="AL1777" s="103"/>
      <c r="AM1777" s="103"/>
      <c r="AN1777" s="103"/>
      <c r="AO1777" s="103">
        <v>300</v>
      </c>
      <c r="AP1777" s="103"/>
      <c r="AQ1777" s="103"/>
      <c r="AR1777" s="103"/>
      <c r="AS1777" s="103"/>
      <c r="AT1777" s="103"/>
      <c r="AU1777" s="103"/>
      <c r="AV1777" s="103"/>
      <c r="AW1777" s="104" t="str">
        <f>HYPERLINK("http://www.openstreetmap.org/?mlat=36.6154&amp;mlon=42.9899&amp;zoom=12#map=12/36.6154/42.9899","Maplink1")</f>
        <v>Maplink1</v>
      </c>
      <c r="AX1777" s="104" t="str">
        <f>HYPERLINK("https://www.google.iq/maps/search/+36.6154,42.9899/@36.6154,42.9899,14z?hl=en","Maplink2")</f>
        <v>Maplink2</v>
      </c>
      <c r="AY1777" s="104" t="str">
        <f>HYPERLINK("http://www.bing.com/maps/?lvl=14&amp;sty=h&amp;cp=36.6154~42.9899&amp;sp=point.36.6154_42.9899","Maplink3")</f>
        <v>Maplink3</v>
      </c>
    </row>
    <row r="1778" spans="1:51" x14ac:dyDescent="0.2">
      <c r="A1778" s="102">
        <v>17133</v>
      </c>
      <c r="B1778" s="103" t="s">
        <v>35</v>
      </c>
      <c r="C1778" s="103" t="s">
        <v>105</v>
      </c>
      <c r="D1778" s="103" t="s">
        <v>3459</v>
      </c>
      <c r="E1778" s="103" t="s">
        <v>3460</v>
      </c>
      <c r="F1778" s="103">
        <v>36.535585072000003</v>
      </c>
      <c r="G1778" s="103">
        <v>42.7599794164</v>
      </c>
      <c r="H1778" s="102">
        <v>1875</v>
      </c>
      <c r="I1778" s="102">
        <v>11250</v>
      </c>
      <c r="J1778" s="103"/>
      <c r="K1778" s="103"/>
      <c r="L1778" s="103"/>
      <c r="M1778" s="103">
        <v>1875</v>
      </c>
      <c r="N1778" s="103"/>
      <c r="O1778" s="103"/>
      <c r="P1778" s="103"/>
      <c r="Q1778" s="103"/>
      <c r="R1778" s="103"/>
      <c r="S1778" s="103"/>
      <c r="T1778" s="103"/>
      <c r="U1778" s="103"/>
      <c r="V1778" s="103"/>
      <c r="W1778" s="103"/>
      <c r="X1778" s="103"/>
      <c r="Y1778" s="103">
        <v>575</v>
      </c>
      <c r="Z1778" s="103"/>
      <c r="AA1778" s="103">
        <v>600</v>
      </c>
      <c r="AB1778" s="103"/>
      <c r="AC1778" s="103"/>
      <c r="AD1778" s="103"/>
      <c r="AE1778" s="103"/>
      <c r="AF1778" s="103"/>
      <c r="AG1778" s="103">
        <v>700</v>
      </c>
      <c r="AH1778" s="103"/>
      <c r="AI1778" s="103"/>
      <c r="AJ1778" s="103"/>
      <c r="AK1778" s="103"/>
      <c r="AL1778" s="103"/>
      <c r="AM1778" s="103"/>
      <c r="AN1778" s="103"/>
      <c r="AO1778" s="103">
        <v>1875</v>
      </c>
      <c r="AP1778" s="103"/>
      <c r="AQ1778" s="103"/>
      <c r="AR1778" s="103"/>
      <c r="AS1778" s="103"/>
      <c r="AT1778" s="103"/>
      <c r="AU1778" s="103"/>
      <c r="AV1778" s="103"/>
      <c r="AW1778" s="104" t="str">
        <f>HYPERLINK("http://www.openstreetmap.org/?mlat=36.5356&amp;mlon=42.76&amp;zoom=12#map=12/36.5356/42.76","Maplink1")</f>
        <v>Maplink1</v>
      </c>
      <c r="AX1778" s="104" t="str">
        <f>HYPERLINK("https://www.google.iq/maps/search/+36.5356,42.76/@36.5356,42.76,14z?hl=en","Maplink2")</f>
        <v>Maplink2</v>
      </c>
      <c r="AY1778" s="104" t="str">
        <f>HYPERLINK("http://www.bing.com/maps/?lvl=14&amp;sty=h&amp;cp=36.5356~42.76&amp;sp=point.36.5356_42.76","Maplink3")</f>
        <v>Maplink3</v>
      </c>
    </row>
    <row r="1779" spans="1:51" x14ac:dyDescent="0.2">
      <c r="A1779" s="102">
        <v>31770</v>
      </c>
      <c r="B1779" s="103" t="s">
        <v>35</v>
      </c>
      <c r="C1779" s="103" t="s">
        <v>105</v>
      </c>
      <c r="D1779" s="103" t="s">
        <v>3461</v>
      </c>
      <c r="E1779" s="103" t="s">
        <v>3462</v>
      </c>
      <c r="F1779" s="103">
        <v>36.576070000000001</v>
      </c>
      <c r="G1779" s="103">
        <v>43.185184776299998</v>
      </c>
      <c r="H1779" s="102">
        <v>120</v>
      </c>
      <c r="I1779" s="102">
        <v>720</v>
      </c>
      <c r="J1779" s="103"/>
      <c r="K1779" s="103"/>
      <c r="L1779" s="103"/>
      <c r="M1779" s="103">
        <v>120</v>
      </c>
      <c r="N1779" s="103"/>
      <c r="O1779" s="103"/>
      <c r="P1779" s="103"/>
      <c r="Q1779" s="103"/>
      <c r="R1779" s="103"/>
      <c r="S1779" s="103"/>
      <c r="T1779" s="103"/>
      <c r="U1779" s="103"/>
      <c r="V1779" s="103"/>
      <c r="W1779" s="103"/>
      <c r="X1779" s="103"/>
      <c r="Y1779" s="103"/>
      <c r="Z1779" s="103"/>
      <c r="AA1779" s="103"/>
      <c r="AB1779" s="103"/>
      <c r="AC1779" s="103"/>
      <c r="AD1779" s="103"/>
      <c r="AE1779" s="103"/>
      <c r="AF1779" s="103"/>
      <c r="AG1779" s="103">
        <v>120</v>
      </c>
      <c r="AH1779" s="103"/>
      <c r="AI1779" s="103"/>
      <c r="AJ1779" s="103"/>
      <c r="AK1779" s="103"/>
      <c r="AL1779" s="103"/>
      <c r="AM1779" s="103"/>
      <c r="AN1779" s="103"/>
      <c r="AO1779" s="103">
        <v>120</v>
      </c>
      <c r="AP1779" s="103"/>
      <c r="AQ1779" s="103"/>
      <c r="AR1779" s="103"/>
      <c r="AS1779" s="103"/>
      <c r="AT1779" s="103"/>
      <c r="AU1779" s="103"/>
      <c r="AV1779" s="103"/>
      <c r="AW1779" s="104" t="str">
        <f>HYPERLINK("http://www.openstreetmap.org/?mlat=36.5761&amp;mlon=43.1852&amp;zoom=12#map=12/36.5761/43.1852","Maplink1")</f>
        <v>Maplink1</v>
      </c>
      <c r="AX1779" s="104" t="str">
        <f>HYPERLINK("https://www.google.iq/maps/search/+36.5761,43.1852/@36.5761,43.1852,14z?hl=en","Maplink2")</f>
        <v>Maplink2</v>
      </c>
      <c r="AY1779" s="104" t="str">
        <f>HYPERLINK("http://www.bing.com/maps/?lvl=14&amp;sty=h&amp;cp=36.5761~43.1852&amp;sp=point.36.5761_43.1852","Maplink3")</f>
        <v>Maplink3</v>
      </c>
    </row>
    <row r="1780" spans="1:51" x14ac:dyDescent="0.2">
      <c r="A1780" s="102">
        <v>17597</v>
      </c>
      <c r="B1780" s="103" t="s">
        <v>35</v>
      </c>
      <c r="C1780" s="103" t="s">
        <v>105</v>
      </c>
      <c r="D1780" s="103" t="s">
        <v>3389</v>
      </c>
      <c r="E1780" s="103" t="s">
        <v>3390</v>
      </c>
      <c r="F1780" s="103">
        <v>36.588022000000002</v>
      </c>
      <c r="G1780" s="103">
        <v>42.841312810200002</v>
      </c>
      <c r="H1780" s="102">
        <v>30</v>
      </c>
      <c r="I1780" s="102">
        <v>180</v>
      </c>
      <c r="J1780" s="103"/>
      <c r="K1780" s="103"/>
      <c r="L1780" s="103"/>
      <c r="M1780" s="103">
        <v>30</v>
      </c>
      <c r="N1780" s="103"/>
      <c r="O1780" s="103"/>
      <c r="P1780" s="103"/>
      <c r="Q1780" s="103"/>
      <c r="R1780" s="103"/>
      <c r="S1780" s="103"/>
      <c r="T1780" s="103"/>
      <c r="U1780" s="103"/>
      <c r="V1780" s="103"/>
      <c r="W1780" s="103"/>
      <c r="X1780" s="103"/>
      <c r="Y1780" s="103"/>
      <c r="Z1780" s="103"/>
      <c r="AA1780" s="103"/>
      <c r="AB1780" s="103"/>
      <c r="AC1780" s="103"/>
      <c r="AD1780" s="103"/>
      <c r="AE1780" s="103"/>
      <c r="AF1780" s="103"/>
      <c r="AG1780" s="103">
        <v>30</v>
      </c>
      <c r="AH1780" s="103"/>
      <c r="AI1780" s="103"/>
      <c r="AJ1780" s="103"/>
      <c r="AK1780" s="103"/>
      <c r="AL1780" s="103"/>
      <c r="AM1780" s="103"/>
      <c r="AN1780" s="103"/>
      <c r="AO1780" s="103">
        <v>30</v>
      </c>
      <c r="AP1780" s="103"/>
      <c r="AQ1780" s="103"/>
      <c r="AR1780" s="103"/>
      <c r="AS1780" s="103"/>
      <c r="AT1780" s="103"/>
      <c r="AU1780" s="103"/>
      <c r="AV1780" s="103"/>
      <c r="AW1780" s="104" t="str">
        <f>HYPERLINK("http://www.openstreetmap.org/?mlat=36.588&amp;mlon=42.8413&amp;zoom=12#map=12/36.588/42.8413","Maplink1")</f>
        <v>Maplink1</v>
      </c>
      <c r="AX1780" s="104" t="str">
        <f>HYPERLINK("https://www.google.iq/maps/search/+36.588,42.8413/@36.588,42.8413,14z?hl=en","Maplink2")</f>
        <v>Maplink2</v>
      </c>
      <c r="AY1780" s="104" t="str">
        <f>HYPERLINK("http://www.bing.com/maps/?lvl=14&amp;sty=h&amp;cp=36.588~42.8413&amp;sp=point.36.588_42.8413","Maplink3")</f>
        <v>Maplink3</v>
      </c>
    </row>
    <row r="1781" spans="1:51" x14ac:dyDescent="0.2">
      <c r="A1781" s="102">
        <v>17758</v>
      </c>
      <c r="B1781" s="103" t="s">
        <v>35</v>
      </c>
      <c r="C1781" s="103" t="s">
        <v>105</v>
      </c>
      <c r="D1781" s="103" t="s">
        <v>3441</v>
      </c>
      <c r="E1781" s="103" t="s">
        <v>3442</v>
      </c>
      <c r="F1781" s="103">
        <v>36.588197000000001</v>
      </c>
      <c r="G1781" s="103">
        <v>43.129100634300002</v>
      </c>
      <c r="H1781" s="102">
        <v>48</v>
      </c>
      <c r="I1781" s="102">
        <v>288</v>
      </c>
      <c r="J1781" s="103"/>
      <c r="K1781" s="103"/>
      <c r="L1781" s="103"/>
      <c r="M1781" s="103">
        <v>48</v>
      </c>
      <c r="N1781" s="103"/>
      <c r="O1781" s="103"/>
      <c r="P1781" s="103"/>
      <c r="Q1781" s="103"/>
      <c r="R1781" s="103"/>
      <c r="S1781" s="103"/>
      <c r="T1781" s="103"/>
      <c r="U1781" s="103"/>
      <c r="V1781" s="103"/>
      <c r="W1781" s="103"/>
      <c r="X1781" s="103"/>
      <c r="Y1781" s="103"/>
      <c r="Z1781" s="103"/>
      <c r="AA1781" s="103"/>
      <c r="AB1781" s="103"/>
      <c r="AC1781" s="103"/>
      <c r="AD1781" s="103"/>
      <c r="AE1781" s="103"/>
      <c r="AF1781" s="103"/>
      <c r="AG1781" s="103">
        <v>48</v>
      </c>
      <c r="AH1781" s="103"/>
      <c r="AI1781" s="103"/>
      <c r="AJ1781" s="103"/>
      <c r="AK1781" s="103"/>
      <c r="AL1781" s="103"/>
      <c r="AM1781" s="103"/>
      <c r="AN1781" s="103"/>
      <c r="AO1781" s="103">
        <v>48</v>
      </c>
      <c r="AP1781" s="103"/>
      <c r="AQ1781" s="103"/>
      <c r="AR1781" s="103"/>
      <c r="AS1781" s="103"/>
      <c r="AT1781" s="103"/>
      <c r="AU1781" s="103"/>
      <c r="AV1781" s="103"/>
      <c r="AW1781" s="104" t="str">
        <f>HYPERLINK("http://www.openstreetmap.org/?mlat=36.5882&amp;mlon=43.1291&amp;zoom=12#map=12/36.5882/43.1291","Maplink1")</f>
        <v>Maplink1</v>
      </c>
      <c r="AX1781" s="104" t="str">
        <f>HYPERLINK("https://www.google.iq/maps/search/+36.5882,43.1291/@36.5882,43.1291,14z?hl=en","Maplink2")</f>
        <v>Maplink2</v>
      </c>
      <c r="AY1781" s="104" t="str">
        <f>HYPERLINK("http://www.bing.com/maps/?lvl=14&amp;sty=h&amp;cp=36.5882~43.1291&amp;sp=point.36.5882_43.1291","Maplink3")</f>
        <v>Maplink3</v>
      </c>
    </row>
    <row r="1782" spans="1:51" x14ac:dyDescent="0.2">
      <c r="A1782" s="102">
        <v>18044</v>
      </c>
      <c r="B1782" s="103" t="s">
        <v>35</v>
      </c>
      <c r="C1782" s="103" t="s">
        <v>105</v>
      </c>
      <c r="D1782" s="103" t="s">
        <v>3429</v>
      </c>
      <c r="E1782" s="103" t="s">
        <v>3430</v>
      </c>
      <c r="F1782" s="103">
        <v>36.508828491099997</v>
      </c>
      <c r="G1782" s="103">
        <v>42.841713038499996</v>
      </c>
      <c r="H1782" s="102">
        <v>190</v>
      </c>
      <c r="I1782" s="102">
        <v>1140</v>
      </c>
      <c r="J1782" s="103"/>
      <c r="K1782" s="103"/>
      <c r="L1782" s="103"/>
      <c r="M1782" s="103">
        <v>190</v>
      </c>
      <c r="N1782" s="103"/>
      <c r="O1782" s="103"/>
      <c r="P1782" s="103"/>
      <c r="Q1782" s="103"/>
      <c r="R1782" s="103"/>
      <c r="S1782" s="103"/>
      <c r="T1782" s="103"/>
      <c r="U1782" s="103"/>
      <c r="V1782" s="103"/>
      <c r="W1782" s="103"/>
      <c r="X1782" s="103"/>
      <c r="Y1782" s="103"/>
      <c r="Z1782" s="103"/>
      <c r="AA1782" s="103"/>
      <c r="AB1782" s="103"/>
      <c r="AC1782" s="103"/>
      <c r="AD1782" s="103"/>
      <c r="AE1782" s="103"/>
      <c r="AF1782" s="103"/>
      <c r="AG1782" s="103">
        <v>190</v>
      </c>
      <c r="AH1782" s="103"/>
      <c r="AI1782" s="103"/>
      <c r="AJ1782" s="103"/>
      <c r="AK1782" s="103"/>
      <c r="AL1782" s="103"/>
      <c r="AM1782" s="103"/>
      <c r="AN1782" s="103"/>
      <c r="AO1782" s="103">
        <v>190</v>
      </c>
      <c r="AP1782" s="103"/>
      <c r="AQ1782" s="103"/>
      <c r="AR1782" s="103"/>
      <c r="AS1782" s="103"/>
      <c r="AT1782" s="103"/>
      <c r="AU1782" s="103"/>
      <c r="AV1782" s="103"/>
      <c r="AW1782" s="104" t="str">
        <f>HYPERLINK("http://www.openstreetmap.org/?mlat=36.5088&amp;mlon=42.8417&amp;zoom=12#map=12/36.5088/42.8417","Maplink1")</f>
        <v>Maplink1</v>
      </c>
      <c r="AX1782" s="104" t="str">
        <f>HYPERLINK("https://www.google.iq/maps/search/+36.5088,42.8417/@36.5088,42.8417,14z?hl=en","Maplink2")</f>
        <v>Maplink2</v>
      </c>
      <c r="AY1782" s="104" t="str">
        <f>HYPERLINK("http://www.bing.com/maps/?lvl=14&amp;sty=h&amp;cp=36.5088~42.8417&amp;sp=point.36.5088_42.8417","Maplink3")</f>
        <v>Maplink3</v>
      </c>
    </row>
    <row r="1783" spans="1:51" x14ac:dyDescent="0.2">
      <c r="A1783" s="102">
        <v>33372</v>
      </c>
      <c r="B1783" s="103" t="s">
        <v>35</v>
      </c>
      <c r="C1783" s="103" t="s">
        <v>105</v>
      </c>
      <c r="D1783" s="103" t="s">
        <v>3431</v>
      </c>
      <c r="E1783" s="103" t="s">
        <v>3432</v>
      </c>
      <c r="F1783" s="103">
        <v>36.641316075100001</v>
      </c>
      <c r="G1783" s="103">
        <v>42.991236305299999</v>
      </c>
      <c r="H1783" s="102">
        <v>195</v>
      </c>
      <c r="I1783" s="102">
        <v>1170</v>
      </c>
      <c r="J1783" s="103"/>
      <c r="K1783" s="103"/>
      <c r="L1783" s="103"/>
      <c r="M1783" s="103">
        <v>135</v>
      </c>
      <c r="N1783" s="103">
        <v>60</v>
      </c>
      <c r="O1783" s="103"/>
      <c r="P1783" s="103"/>
      <c r="Q1783" s="103"/>
      <c r="R1783" s="103"/>
      <c r="S1783" s="103"/>
      <c r="T1783" s="103"/>
      <c r="U1783" s="103"/>
      <c r="V1783" s="103"/>
      <c r="W1783" s="103"/>
      <c r="X1783" s="103"/>
      <c r="Y1783" s="103">
        <v>5</v>
      </c>
      <c r="Z1783" s="103"/>
      <c r="AA1783" s="103"/>
      <c r="AB1783" s="103"/>
      <c r="AC1783" s="103"/>
      <c r="AD1783" s="103"/>
      <c r="AE1783" s="103"/>
      <c r="AF1783" s="103"/>
      <c r="AG1783" s="103">
        <v>190</v>
      </c>
      <c r="AH1783" s="103"/>
      <c r="AI1783" s="103"/>
      <c r="AJ1783" s="103"/>
      <c r="AK1783" s="103"/>
      <c r="AL1783" s="103"/>
      <c r="AM1783" s="103"/>
      <c r="AN1783" s="103"/>
      <c r="AO1783" s="103">
        <v>195</v>
      </c>
      <c r="AP1783" s="103"/>
      <c r="AQ1783" s="103"/>
      <c r="AR1783" s="103"/>
      <c r="AS1783" s="103"/>
      <c r="AT1783" s="103"/>
      <c r="AU1783" s="103"/>
      <c r="AV1783" s="103"/>
      <c r="AW1783" s="104" t="str">
        <f>HYPERLINK("http://www.openstreetmap.org/?mlat=36.6413&amp;mlon=42.9912&amp;zoom=12#map=12/36.6413/42.9912","Maplink1")</f>
        <v>Maplink1</v>
      </c>
      <c r="AX1783" s="104" t="str">
        <f>HYPERLINK("https://www.google.iq/maps/search/+36.6413,42.9912/@36.6413,42.9912,14z?hl=en","Maplink2")</f>
        <v>Maplink2</v>
      </c>
      <c r="AY1783" s="104" t="str">
        <f>HYPERLINK("http://www.bing.com/maps/?lvl=14&amp;sty=h&amp;cp=36.6413~42.9912&amp;sp=point.36.6413_42.9912","Maplink3")</f>
        <v>Maplink3</v>
      </c>
    </row>
    <row r="1784" spans="1:51" x14ac:dyDescent="0.2">
      <c r="A1784" s="102">
        <v>33541</v>
      </c>
      <c r="B1784" s="103" t="s">
        <v>35</v>
      </c>
      <c r="C1784" s="103" t="s">
        <v>105</v>
      </c>
      <c r="D1784" s="103" t="s">
        <v>3433</v>
      </c>
      <c r="E1784" s="103" t="s">
        <v>3434</v>
      </c>
      <c r="F1784" s="103">
        <v>36.564836999999997</v>
      </c>
      <c r="G1784" s="103">
        <v>43.217469000000001</v>
      </c>
      <c r="H1784" s="102">
        <v>33</v>
      </c>
      <c r="I1784" s="102">
        <v>198</v>
      </c>
      <c r="J1784" s="103"/>
      <c r="K1784" s="103"/>
      <c r="L1784" s="103"/>
      <c r="M1784" s="103">
        <v>25</v>
      </c>
      <c r="N1784" s="103">
        <v>8</v>
      </c>
      <c r="O1784" s="103"/>
      <c r="P1784" s="103"/>
      <c r="Q1784" s="103"/>
      <c r="R1784" s="103"/>
      <c r="S1784" s="103"/>
      <c r="T1784" s="103"/>
      <c r="U1784" s="103"/>
      <c r="V1784" s="103"/>
      <c r="W1784" s="103"/>
      <c r="X1784" s="103"/>
      <c r="Y1784" s="103"/>
      <c r="Z1784" s="103"/>
      <c r="AA1784" s="103"/>
      <c r="AB1784" s="103"/>
      <c r="AC1784" s="103"/>
      <c r="AD1784" s="103"/>
      <c r="AE1784" s="103"/>
      <c r="AF1784" s="103"/>
      <c r="AG1784" s="103">
        <v>33</v>
      </c>
      <c r="AH1784" s="103"/>
      <c r="AI1784" s="103"/>
      <c r="AJ1784" s="103"/>
      <c r="AK1784" s="103"/>
      <c r="AL1784" s="103"/>
      <c r="AM1784" s="103"/>
      <c r="AN1784" s="103"/>
      <c r="AO1784" s="103">
        <v>33</v>
      </c>
      <c r="AP1784" s="103"/>
      <c r="AQ1784" s="103"/>
      <c r="AR1784" s="103"/>
      <c r="AS1784" s="103"/>
      <c r="AT1784" s="103"/>
      <c r="AU1784" s="103"/>
      <c r="AV1784" s="103"/>
      <c r="AW1784" s="104" t="str">
        <f>HYPERLINK("http://www.openstreetmap.org/?mlat=36.5648&amp;mlon=43.2175&amp;zoom=12#map=12/36.5648/43.2175","Maplink1")</f>
        <v>Maplink1</v>
      </c>
      <c r="AX1784" s="104" t="str">
        <f>HYPERLINK("https://www.google.iq/maps/search/+36.5648,43.2175/@36.5648,43.2175,14z?hl=en","Maplink2")</f>
        <v>Maplink2</v>
      </c>
      <c r="AY1784" s="104" t="str">
        <f>HYPERLINK("http://www.bing.com/maps/?lvl=14&amp;sty=h&amp;cp=36.5648~43.2175&amp;sp=point.36.5648_43.2175","Maplink3")</f>
        <v>Maplink3</v>
      </c>
    </row>
    <row r="1785" spans="1:51" x14ac:dyDescent="0.2">
      <c r="A1785" s="102">
        <v>27350</v>
      </c>
      <c r="B1785" s="103" t="s">
        <v>35</v>
      </c>
      <c r="C1785" s="103" t="s">
        <v>105</v>
      </c>
      <c r="D1785" s="103" t="s">
        <v>3435</v>
      </c>
      <c r="E1785" s="103" t="s">
        <v>3436</v>
      </c>
      <c r="F1785" s="103">
        <v>36.613679269999999</v>
      </c>
      <c r="G1785" s="103">
        <v>42.837436128100002</v>
      </c>
      <c r="H1785" s="102">
        <v>665</v>
      </c>
      <c r="I1785" s="102">
        <v>3990</v>
      </c>
      <c r="J1785" s="103"/>
      <c r="K1785" s="103"/>
      <c r="L1785" s="103"/>
      <c r="M1785" s="103">
        <v>665</v>
      </c>
      <c r="N1785" s="103"/>
      <c r="O1785" s="103"/>
      <c r="P1785" s="103"/>
      <c r="Q1785" s="103"/>
      <c r="R1785" s="103"/>
      <c r="S1785" s="103"/>
      <c r="T1785" s="103"/>
      <c r="U1785" s="103"/>
      <c r="V1785" s="103"/>
      <c r="W1785" s="103"/>
      <c r="X1785" s="103"/>
      <c r="Y1785" s="103"/>
      <c r="Z1785" s="103"/>
      <c r="AA1785" s="103"/>
      <c r="AB1785" s="103"/>
      <c r="AC1785" s="103"/>
      <c r="AD1785" s="103"/>
      <c r="AE1785" s="103"/>
      <c r="AF1785" s="103"/>
      <c r="AG1785" s="103">
        <v>665</v>
      </c>
      <c r="AH1785" s="103"/>
      <c r="AI1785" s="103"/>
      <c r="AJ1785" s="103"/>
      <c r="AK1785" s="103"/>
      <c r="AL1785" s="103"/>
      <c r="AM1785" s="103"/>
      <c r="AN1785" s="103"/>
      <c r="AO1785" s="103">
        <v>665</v>
      </c>
      <c r="AP1785" s="103"/>
      <c r="AQ1785" s="103"/>
      <c r="AR1785" s="103"/>
      <c r="AS1785" s="103"/>
      <c r="AT1785" s="103"/>
      <c r="AU1785" s="103"/>
      <c r="AV1785" s="103"/>
      <c r="AW1785" s="104" t="str">
        <f>HYPERLINK("http://www.openstreetmap.org/?mlat=36.6137&amp;mlon=42.8374&amp;zoom=12#map=12/36.6137/42.8374","Maplink1")</f>
        <v>Maplink1</v>
      </c>
      <c r="AX1785" s="104" t="str">
        <f>HYPERLINK("https://www.google.iq/maps/search/+36.6137,42.8374/@36.6137,42.8374,14z?hl=en","Maplink2")</f>
        <v>Maplink2</v>
      </c>
      <c r="AY1785" s="104" t="str">
        <f>HYPERLINK("http://www.bing.com/maps/?lvl=14&amp;sty=h&amp;cp=36.6137~42.8374&amp;sp=point.36.6137_42.8374","Maplink3")</f>
        <v>Maplink3</v>
      </c>
    </row>
    <row r="1786" spans="1:51" x14ac:dyDescent="0.2">
      <c r="A1786" s="102">
        <v>17602</v>
      </c>
      <c r="B1786" s="103" t="s">
        <v>35</v>
      </c>
      <c r="C1786" s="103" t="s">
        <v>105</v>
      </c>
      <c r="D1786" s="103" t="s">
        <v>3381</v>
      </c>
      <c r="E1786" s="103" t="s">
        <v>3382</v>
      </c>
      <c r="F1786" s="103">
        <v>36.564261000000002</v>
      </c>
      <c r="G1786" s="103">
        <v>43.032031000000003</v>
      </c>
      <c r="H1786" s="102">
        <v>220</v>
      </c>
      <c r="I1786" s="102">
        <v>1320</v>
      </c>
      <c r="J1786" s="103"/>
      <c r="K1786" s="103"/>
      <c r="L1786" s="103"/>
      <c r="M1786" s="103">
        <v>220</v>
      </c>
      <c r="N1786" s="103"/>
      <c r="O1786" s="103"/>
      <c r="P1786" s="103"/>
      <c r="Q1786" s="103"/>
      <c r="R1786" s="103"/>
      <c r="S1786" s="103"/>
      <c r="T1786" s="103"/>
      <c r="U1786" s="103"/>
      <c r="V1786" s="103"/>
      <c r="W1786" s="103"/>
      <c r="X1786" s="103"/>
      <c r="Y1786" s="103"/>
      <c r="Z1786" s="103"/>
      <c r="AA1786" s="103"/>
      <c r="AB1786" s="103"/>
      <c r="AC1786" s="103"/>
      <c r="AD1786" s="103"/>
      <c r="AE1786" s="103"/>
      <c r="AF1786" s="103"/>
      <c r="AG1786" s="103">
        <v>220</v>
      </c>
      <c r="AH1786" s="103"/>
      <c r="AI1786" s="103"/>
      <c r="AJ1786" s="103"/>
      <c r="AK1786" s="103"/>
      <c r="AL1786" s="103"/>
      <c r="AM1786" s="103"/>
      <c r="AN1786" s="103"/>
      <c r="AO1786" s="103">
        <v>220</v>
      </c>
      <c r="AP1786" s="103"/>
      <c r="AQ1786" s="103"/>
      <c r="AR1786" s="103"/>
      <c r="AS1786" s="103"/>
      <c r="AT1786" s="103"/>
      <c r="AU1786" s="103"/>
      <c r="AV1786" s="103"/>
      <c r="AW1786" s="104" t="str">
        <f>HYPERLINK("http://www.openstreetmap.org/?mlat=36.5643&amp;mlon=43.032&amp;zoom=12#map=12/36.5643/43.032","Maplink1")</f>
        <v>Maplink1</v>
      </c>
      <c r="AX1786" s="104" t="str">
        <f>HYPERLINK("https://www.google.iq/maps/search/+36.5643,43.032/@36.5643,43.032,14z?hl=en","Maplink2")</f>
        <v>Maplink2</v>
      </c>
      <c r="AY1786" s="104" t="str">
        <f>HYPERLINK("http://www.bing.com/maps/?lvl=14&amp;sty=h&amp;cp=36.5643~43.032&amp;sp=point.36.5643_43.032","Maplink3")</f>
        <v>Maplink3</v>
      </c>
    </row>
    <row r="1787" spans="1:51" x14ac:dyDescent="0.2">
      <c r="A1787" s="102">
        <v>33216</v>
      </c>
      <c r="B1787" s="103" t="s">
        <v>35</v>
      </c>
      <c r="C1787" s="103" t="s">
        <v>105</v>
      </c>
      <c r="D1787" s="103" t="s">
        <v>3399</v>
      </c>
      <c r="E1787" s="103" t="s">
        <v>3400</v>
      </c>
      <c r="F1787" s="103">
        <v>36.497543999999998</v>
      </c>
      <c r="G1787" s="103">
        <v>42.865360000000003</v>
      </c>
      <c r="H1787" s="102">
        <v>142</v>
      </c>
      <c r="I1787" s="102">
        <v>852</v>
      </c>
      <c r="J1787" s="103"/>
      <c r="K1787" s="103"/>
      <c r="L1787" s="103"/>
      <c r="M1787" s="103">
        <v>142</v>
      </c>
      <c r="N1787" s="103"/>
      <c r="O1787" s="103"/>
      <c r="P1787" s="103"/>
      <c r="Q1787" s="103"/>
      <c r="R1787" s="103"/>
      <c r="S1787" s="103"/>
      <c r="T1787" s="103"/>
      <c r="U1787" s="103"/>
      <c r="V1787" s="103"/>
      <c r="W1787" s="103"/>
      <c r="X1787" s="103"/>
      <c r="Y1787" s="103"/>
      <c r="Z1787" s="103"/>
      <c r="AA1787" s="103"/>
      <c r="AB1787" s="103"/>
      <c r="AC1787" s="103"/>
      <c r="AD1787" s="103"/>
      <c r="AE1787" s="103"/>
      <c r="AF1787" s="103"/>
      <c r="AG1787" s="103">
        <v>142</v>
      </c>
      <c r="AH1787" s="103"/>
      <c r="AI1787" s="103"/>
      <c r="AJ1787" s="103"/>
      <c r="AK1787" s="103"/>
      <c r="AL1787" s="103"/>
      <c r="AM1787" s="103"/>
      <c r="AN1787" s="103"/>
      <c r="AO1787" s="103">
        <v>142</v>
      </c>
      <c r="AP1787" s="103"/>
      <c r="AQ1787" s="103"/>
      <c r="AR1787" s="103"/>
      <c r="AS1787" s="103"/>
      <c r="AT1787" s="103"/>
      <c r="AU1787" s="103"/>
      <c r="AV1787" s="103"/>
      <c r="AW1787" s="104" t="str">
        <f>HYPERLINK("http://www.openstreetmap.org/?mlat=36.4975&amp;mlon=42.8654&amp;zoom=12#map=12/36.4975/42.8654","Maplink1")</f>
        <v>Maplink1</v>
      </c>
      <c r="AX1787" s="104" t="str">
        <f>HYPERLINK("https://www.google.iq/maps/search/+36.4975,42.8654/@36.4975,42.8654,14z?hl=en","Maplink2")</f>
        <v>Maplink2</v>
      </c>
      <c r="AY1787" s="104" t="str">
        <f>HYPERLINK("http://www.bing.com/maps/?lvl=14&amp;sty=h&amp;cp=36.4975~42.8654&amp;sp=point.36.4975_42.8654","Maplink3")</f>
        <v>Maplink3</v>
      </c>
    </row>
    <row r="1788" spans="1:51" x14ac:dyDescent="0.2">
      <c r="A1788" s="102">
        <v>33222</v>
      </c>
      <c r="B1788" s="103" t="s">
        <v>35</v>
      </c>
      <c r="C1788" s="103" t="s">
        <v>105</v>
      </c>
      <c r="D1788" s="103" t="s">
        <v>3401</v>
      </c>
      <c r="E1788" s="103" t="s">
        <v>3402</v>
      </c>
      <c r="F1788" s="103">
        <v>36.505302</v>
      </c>
      <c r="G1788" s="103">
        <v>42.853118066199997</v>
      </c>
      <c r="H1788" s="102">
        <v>25</v>
      </c>
      <c r="I1788" s="102">
        <v>150</v>
      </c>
      <c r="J1788" s="103"/>
      <c r="K1788" s="103"/>
      <c r="L1788" s="103"/>
      <c r="M1788" s="103">
        <v>25</v>
      </c>
      <c r="N1788" s="103"/>
      <c r="O1788" s="103"/>
      <c r="P1788" s="103"/>
      <c r="Q1788" s="103"/>
      <c r="R1788" s="103"/>
      <c r="S1788" s="103"/>
      <c r="T1788" s="103"/>
      <c r="U1788" s="103"/>
      <c r="V1788" s="103"/>
      <c r="W1788" s="103"/>
      <c r="X1788" s="103"/>
      <c r="Y1788" s="103"/>
      <c r="Z1788" s="103"/>
      <c r="AA1788" s="103"/>
      <c r="AB1788" s="103"/>
      <c r="AC1788" s="103"/>
      <c r="AD1788" s="103"/>
      <c r="AE1788" s="103"/>
      <c r="AF1788" s="103"/>
      <c r="AG1788" s="103">
        <v>25</v>
      </c>
      <c r="AH1788" s="103"/>
      <c r="AI1788" s="103"/>
      <c r="AJ1788" s="103"/>
      <c r="AK1788" s="103"/>
      <c r="AL1788" s="103"/>
      <c r="AM1788" s="103"/>
      <c r="AN1788" s="103"/>
      <c r="AO1788" s="103">
        <v>25</v>
      </c>
      <c r="AP1788" s="103"/>
      <c r="AQ1788" s="103"/>
      <c r="AR1788" s="103"/>
      <c r="AS1788" s="103"/>
      <c r="AT1788" s="103"/>
      <c r="AU1788" s="103"/>
      <c r="AV1788" s="103"/>
      <c r="AW1788" s="104" t="str">
        <f>HYPERLINK("http://www.openstreetmap.org/?mlat=36.5053&amp;mlon=42.8531&amp;zoom=12#map=12/36.5053/42.8531","Maplink1")</f>
        <v>Maplink1</v>
      </c>
      <c r="AX1788" s="104" t="str">
        <f>HYPERLINK("https://www.google.iq/maps/search/+36.5053,42.8531/@36.5053,42.8531,14z?hl=en","Maplink2")</f>
        <v>Maplink2</v>
      </c>
      <c r="AY1788" s="104" t="str">
        <f>HYPERLINK("http://www.bing.com/maps/?lvl=14&amp;sty=h&amp;cp=36.5053~42.8531&amp;sp=point.36.5053_42.8531","Maplink3")</f>
        <v>Maplink3</v>
      </c>
    </row>
    <row r="1789" spans="1:51" x14ac:dyDescent="0.2">
      <c r="A1789" s="102">
        <v>17600</v>
      </c>
      <c r="B1789" s="103" t="s">
        <v>35</v>
      </c>
      <c r="C1789" s="103" t="s">
        <v>105</v>
      </c>
      <c r="D1789" s="103" t="s">
        <v>3403</v>
      </c>
      <c r="E1789" s="103" t="s">
        <v>3404</v>
      </c>
      <c r="F1789" s="103">
        <v>36.530579000000003</v>
      </c>
      <c r="G1789" s="103">
        <v>43.005199026100001</v>
      </c>
      <c r="H1789" s="102">
        <v>162</v>
      </c>
      <c r="I1789" s="102">
        <v>972</v>
      </c>
      <c r="J1789" s="103">
        <v>20</v>
      </c>
      <c r="K1789" s="103"/>
      <c r="L1789" s="103"/>
      <c r="M1789" s="103">
        <v>100</v>
      </c>
      <c r="N1789" s="103">
        <v>42</v>
      </c>
      <c r="O1789" s="103"/>
      <c r="P1789" s="103"/>
      <c r="Q1789" s="103"/>
      <c r="R1789" s="103"/>
      <c r="S1789" s="103"/>
      <c r="T1789" s="103"/>
      <c r="U1789" s="103"/>
      <c r="V1789" s="103"/>
      <c r="W1789" s="103"/>
      <c r="X1789" s="103"/>
      <c r="Y1789" s="103"/>
      <c r="Z1789" s="103"/>
      <c r="AA1789" s="103"/>
      <c r="AB1789" s="103"/>
      <c r="AC1789" s="103"/>
      <c r="AD1789" s="103"/>
      <c r="AE1789" s="103"/>
      <c r="AF1789" s="103"/>
      <c r="AG1789" s="103">
        <v>162</v>
      </c>
      <c r="AH1789" s="103"/>
      <c r="AI1789" s="103"/>
      <c r="AJ1789" s="103"/>
      <c r="AK1789" s="103"/>
      <c r="AL1789" s="103"/>
      <c r="AM1789" s="103"/>
      <c r="AN1789" s="103"/>
      <c r="AO1789" s="103">
        <v>162</v>
      </c>
      <c r="AP1789" s="103"/>
      <c r="AQ1789" s="103"/>
      <c r="AR1789" s="103"/>
      <c r="AS1789" s="103"/>
      <c r="AT1789" s="103"/>
      <c r="AU1789" s="103"/>
      <c r="AV1789" s="103"/>
      <c r="AW1789" s="104" t="str">
        <f>HYPERLINK("http://www.openstreetmap.org/?mlat=36.5306&amp;mlon=43.0052&amp;zoom=12#map=12/36.5306/43.0052","Maplink1")</f>
        <v>Maplink1</v>
      </c>
      <c r="AX1789" s="104" t="str">
        <f>HYPERLINK("https://www.google.iq/maps/search/+36.5306,43.0052/@36.5306,43.0052,14z?hl=en","Maplink2")</f>
        <v>Maplink2</v>
      </c>
      <c r="AY1789" s="104" t="str">
        <f>HYPERLINK("http://www.bing.com/maps/?lvl=14&amp;sty=h&amp;cp=36.5306~43.0052&amp;sp=point.36.5306_43.0052","Maplink3")</f>
        <v>Maplink3</v>
      </c>
    </row>
    <row r="1790" spans="1:51" x14ac:dyDescent="0.2">
      <c r="A1790" s="102">
        <v>21601</v>
      </c>
      <c r="B1790" s="103" t="s">
        <v>35</v>
      </c>
      <c r="C1790" s="103" t="s">
        <v>105</v>
      </c>
      <c r="D1790" s="103" t="s">
        <v>3415</v>
      </c>
      <c r="E1790" s="103" t="s">
        <v>3416</v>
      </c>
      <c r="F1790" s="103">
        <v>36.422539232200002</v>
      </c>
      <c r="G1790" s="103">
        <v>43.159260506700001</v>
      </c>
      <c r="H1790" s="102">
        <v>1605</v>
      </c>
      <c r="I1790" s="102">
        <v>9630</v>
      </c>
      <c r="J1790" s="103"/>
      <c r="K1790" s="103"/>
      <c r="L1790" s="103"/>
      <c r="M1790" s="103">
        <v>1605</v>
      </c>
      <c r="N1790" s="103"/>
      <c r="O1790" s="103"/>
      <c r="P1790" s="103"/>
      <c r="Q1790" s="103"/>
      <c r="R1790" s="103"/>
      <c r="S1790" s="103"/>
      <c r="T1790" s="103"/>
      <c r="U1790" s="103">
        <v>30</v>
      </c>
      <c r="V1790" s="103">
        <v>157</v>
      </c>
      <c r="W1790" s="103">
        <v>25</v>
      </c>
      <c r="X1790" s="103">
        <v>60</v>
      </c>
      <c r="Y1790" s="103">
        <v>34</v>
      </c>
      <c r="Z1790" s="103"/>
      <c r="AA1790" s="103">
        <v>26</v>
      </c>
      <c r="AB1790" s="103">
        <v>367</v>
      </c>
      <c r="AC1790" s="103"/>
      <c r="AD1790" s="103"/>
      <c r="AE1790" s="103"/>
      <c r="AF1790" s="103">
        <v>634</v>
      </c>
      <c r="AG1790" s="103">
        <v>272</v>
      </c>
      <c r="AH1790" s="103"/>
      <c r="AI1790" s="103"/>
      <c r="AJ1790" s="103"/>
      <c r="AK1790" s="103"/>
      <c r="AL1790" s="103"/>
      <c r="AM1790" s="103"/>
      <c r="AN1790" s="103"/>
      <c r="AO1790" s="103">
        <v>1605</v>
      </c>
      <c r="AP1790" s="103"/>
      <c r="AQ1790" s="103"/>
      <c r="AR1790" s="103"/>
      <c r="AS1790" s="103"/>
      <c r="AT1790" s="103"/>
      <c r="AU1790" s="103"/>
      <c r="AV1790" s="103"/>
      <c r="AW1790" s="104" t="str">
        <f>HYPERLINK("http://www.openstreetmap.org/?mlat=36.4225&amp;mlon=43.1593&amp;zoom=12#map=12/36.4225/43.1593","Maplink1")</f>
        <v>Maplink1</v>
      </c>
      <c r="AX1790" s="104" t="str">
        <f>HYPERLINK("https://www.google.iq/maps/search/+36.4225,43.1593/@36.4225,43.1593,14z?hl=en","Maplink2")</f>
        <v>Maplink2</v>
      </c>
      <c r="AY1790" s="104" t="str">
        <f>HYPERLINK("http://www.bing.com/maps/?lvl=14&amp;sty=h&amp;cp=36.4225~43.1593&amp;sp=point.36.4225_43.1593","Maplink3")</f>
        <v>Maplink3</v>
      </c>
    </row>
    <row r="1791" spans="1:51" x14ac:dyDescent="0.2">
      <c r="A1791" s="102">
        <v>17568</v>
      </c>
      <c r="B1791" s="103" t="s">
        <v>35</v>
      </c>
      <c r="C1791" s="103" t="s">
        <v>105</v>
      </c>
      <c r="D1791" s="103" t="s">
        <v>3417</v>
      </c>
      <c r="E1791" s="103" t="s">
        <v>3418</v>
      </c>
      <c r="F1791" s="103">
        <v>36.576873999999997</v>
      </c>
      <c r="G1791" s="103">
        <v>43.174846651599999</v>
      </c>
      <c r="H1791" s="102">
        <v>13</v>
      </c>
      <c r="I1791" s="102">
        <v>78</v>
      </c>
      <c r="J1791" s="103"/>
      <c r="K1791" s="103"/>
      <c r="L1791" s="103"/>
      <c r="M1791" s="103">
        <v>13</v>
      </c>
      <c r="N1791" s="103"/>
      <c r="O1791" s="103"/>
      <c r="P1791" s="103"/>
      <c r="Q1791" s="103"/>
      <c r="R1791" s="103"/>
      <c r="S1791" s="103"/>
      <c r="T1791" s="103"/>
      <c r="U1791" s="103"/>
      <c r="V1791" s="103"/>
      <c r="W1791" s="103"/>
      <c r="X1791" s="103"/>
      <c r="Y1791" s="103"/>
      <c r="Z1791" s="103"/>
      <c r="AA1791" s="103"/>
      <c r="AB1791" s="103"/>
      <c r="AC1791" s="103"/>
      <c r="AD1791" s="103"/>
      <c r="AE1791" s="103"/>
      <c r="AF1791" s="103"/>
      <c r="AG1791" s="103">
        <v>13</v>
      </c>
      <c r="AH1791" s="103"/>
      <c r="AI1791" s="103"/>
      <c r="AJ1791" s="103"/>
      <c r="AK1791" s="103"/>
      <c r="AL1791" s="103"/>
      <c r="AM1791" s="103"/>
      <c r="AN1791" s="103"/>
      <c r="AO1791" s="103">
        <v>13</v>
      </c>
      <c r="AP1791" s="103"/>
      <c r="AQ1791" s="103"/>
      <c r="AR1791" s="103"/>
      <c r="AS1791" s="103"/>
      <c r="AT1791" s="103"/>
      <c r="AU1791" s="103"/>
      <c r="AV1791" s="103"/>
      <c r="AW1791" s="104" t="str">
        <f>HYPERLINK("http://www.openstreetmap.org/?mlat=36.5769&amp;mlon=43.1748&amp;zoom=12#map=12/36.5769/43.1748","Maplink1")</f>
        <v>Maplink1</v>
      </c>
      <c r="AX1791" s="104" t="str">
        <f>HYPERLINK("https://www.google.iq/maps/search/+36.5769,43.1748/@36.5769,43.1748,14z?hl=en","Maplink2")</f>
        <v>Maplink2</v>
      </c>
      <c r="AY1791" s="104" t="str">
        <f>HYPERLINK("http://www.bing.com/maps/?lvl=14&amp;sty=h&amp;cp=36.5769~43.1748&amp;sp=point.36.5769_43.1748","Maplink3")</f>
        <v>Maplink3</v>
      </c>
    </row>
    <row r="1792" spans="1:51" x14ac:dyDescent="0.2">
      <c r="A1792" s="102">
        <v>17588</v>
      </c>
      <c r="B1792" s="103" t="s">
        <v>35</v>
      </c>
      <c r="C1792" s="103" t="s">
        <v>105</v>
      </c>
      <c r="D1792" s="103" t="s">
        <v>3419</v>
      </c>
      <c r="E1792" s="103" t="s">
        <v>3420</v>
      </c>
      <c r="F1792" s="103">
        <v>36.620486999999997</v>
      </c>
      <c r="G1792" s="103">
        <v>42.968632845099997</v>
      </c>
      <c r="H1792" s="102">
        <v>129</v>
      </c>
      <c r="I1792" s="102">
        <v>774</v>
      </c>
      <c r="J1792" s="103"/>
      <c r="K1792" s="103"/>
      <c r="L1792" s="103"/>
      <c r="M1792" s="103">
        <v>129</v>
      </c>
      <c r="N1792" s="103"/>
      <c r="O1792" s="103"/>
      <c r="P1792" s="103"/>
      <c r="Q1792" s="103"/>
      <c r="R1792" s="103"/>
      <c r="S1792" s="103"/>
      <c r="T1792" s="103"/>
      <c r="U1792" s="103"/>
      <c r="V1792" s="103"/>
      <c r="W1792" s="103"/>
      <c r="X1792" s="103"/>
      <c r="Y1792" s="103">
        <v>35</v>
      </c>
      <c r="Z1792" s="103"/>
      <c r="AA1792" s="103"/>
      <c r="AB1792" s="103"/>
      <c r="AC1792" s="103"/>
      <c r="AD1792" s="103"/>
      <c r="AE1792" s="103"/>
      <c r="AF1792" s="103"/>
      <c r="AG1792" s="103">
        <v>94</v>
      </c>
      <c r="AH1792" s="103"/>
      <c r="AI1792" s="103"/>
      <c r="AJ1792" s="103"/>
      <c r="AK1792" s="103"/>
      <c r="AL1792" s="103"/>
      <c r="AM1792" s="103"/>
      <c r="AN1792" s="103"/>
      <c r="AO1792" s="103">
        <v>129</v>
      </c>
      <c r="AP1792" s="103"/>
      <c r="AQ1792" s="103"/>
      <c r="AR1792" s="103"/>
      <c r="AS1792" s="103"/>
      <c r="AT1792" s="103"/>
      <c r="AU1792" s="103"/>
      <c r="AV1792" s="103"/>
      <c r="AW1792" s="104" t="str">
        <f>HYPERLINK("http://www.openstreetmap.org/?mlat=36.6205&amp;mlon=42.9686&amp;zoom=12#map=12/36.6205/42.9686","Maplink1")</f>
        <v>Maplink1</v>
      </c>
      <c r="AX1792" s="104" t="str">
        <f>HYPERLINK("https://www.google.iq/maps/search/+36.6205,42.9686/@36.6205,42.9686,14z?hl=en","Maplink2")</f>
        <v>Maplink2</v>
      </c>
      <c r="AY1792" s="104" t="str">
        <f>HYPERLINK("http://www.bing.com/maps/?lvl=14&amp;sty=h&amp;cp=36.6205~42.9686&amp;sp=point.36.6205_42.9686","Maplink3")</f>
        <v>Maplink3</v>
      </c>
    </row>
    <row r="1793" spans="1:51" x14ac:dyDescent="0.2">
      <c r="A1793" s="102">
        <v>23415</v>
      </c>
      <c r="B1793" s="103" t="s">
        <v>35</v>
      </c>
      <c r="C1793" s="103" t="s">
        <v>105</v>
      </c>
      <c r="D1793" s="103" t="s">
        <v>3421</v>
      </c>
      <c r="E1793" s="103" t="s">
        <v>3422</v>
      </c>
      <c r="F1793" s="103">
        <v>36.578664000000003</v>
      </c>
      <c r="G1793" s="103">
        <v>42.931584689399998</v>
      </c>
      <c r="H1793" s="102">
        <v>143</v>
      </c>
      <c r="I1793" s="102">
        <v>858</v>
      </c>
      <c r="J1793" s="103">
        <v>20</v>
      </c>
      <c r="K1793" s="103"/>
      <c r="L1793" s="103"/>
      <c r="M1793" s="103">
        <v>113</v>
      </c>
      <c r="N1793" s="103">
        <v>10</v>
      </c>
      <c r="O1793" s="103"/>
      <c r="P1793" s="103"/>
      <c r="Q1793" s="103"/>
      <c r="R1793" s="103"/>
      <c r="S1793" s="103"/>
      <c r="T1793" s="103"/>
      <c r="U1793" s="103"/>
      <c r="V1793" s="103"/>
      <c r="W1793" s="103"/>
      <c r="X1793" s="103"/>
      <c r="Y1793" s="103"/>
      <c r="Z1793" s="103"/>
      <c r="AA1793" s="103"/>
      <c r="AB1793" s="103"/>
      <c r="AC1793" s="103"/>
      <c r="AD1793" s="103"/>
      <c r="AE1793" s="103"/>
      <c r="AF1793" s="103"/>
      <c r="AG1793" s="103">
        <v>143</v>
      </c>
      <c r="AH1793" s="103"/>
      <c r="AI1793" s="103"/>
      <c r="AJ1793" s="103"/>
      <c r="AK1793" s="103"/>
      <c r="AL1793" s="103"/>
      <c r="AM1793" s="103"/>
      <c r="AN1793" s="103"/>
      <c r="AO1793" s="103">
        <v>143</v>
      </c>
      <c r="AP1793" s="103"/>
      <c r="AQ1793" s="103"/>
      <c r="AR1793" s="103"/>
      <c r="AS1793" s="103"/>
      <c r="AT1793" s="103"/>
      <c r="AU1793" s="103"/>
      <c r="AV1793" s="103"/>
      <c r="AW1793" s="104" t="str">
        <f>HYPERLINK("http://www.openstreetmap.org/?mlat=36.5787&amp;mlon=42.9316&amp;zoom=12#map=12/36.5787/42.9316","Maplink1")</f>
        <v>Maplink1</v>
      </c>
      <c r="AX1793" s="104" t="str">
        <f>HYPERLINK("https://www.google.iq/maps/search/+36.5787,42.9316/@36.5787,42.9316,14z?hl=en","Maplink2")</f>
        <v>Maplink2</v>
      </c>
      <c r="AY1793" s="104" t="str">
        <f>HYPERLINK("http://www.bing.com/maps/?lvl=14&amp;sty=h&amp;cp=36.5787~42.9316&amp;sp=point.36.5787_42.9316","Maplink3")</f>
        <v>Maplink3</v>
      </c>
    </row>
    <row r="1794" spans="1:51" x14ac:dyDescent="0.2">
      <c r="A1794" s="102">
        <v>24600</v>
      </c>
      <c r="B1794" s="103" t="s">
        <v>35</v>
      </c>
      <c r="C1794" s="103" t="s">
        <v>105</v>
      </c>
      <c r="D1794" s="103" t="s">
        <v>3409</v>
      </c>
      <c r="E1794" s="103" t="s">
        <v>3410</v>
      </c>
      <c r="F1794" s="103">
        <v>36.444421156899999</v>
      </c>
      <c r="G1794" s="103">
        <v>43.094908035800003</v>
      </c>
      <c r="H1794" s="102">
        <v>200</v>
      </c>
      <c r="I1794" s="102">
        <v>1200</v>
      </c>
      <c r="J1794" s="103"/>
      <c r="K1794" s="103"/>
      <c r="L1794" s="103"/>
      <c r="M1794" s="103">
        <v>200</v>
      </c>
      <c r="N1794" s="103"/>
      <c r="O1794" s="103"/>
      <c r="P1794" s="103"/>
      <c r="Q1794" s="103"/>
      <c r="R1794" s="103"/>
      <c r="S1794" s="103"/>
      <c r="T1794" s="103"/>
      <c r="U1794" s="103"/>
      <c r="V1794" s="103"/>
      <c r="W1794" s="103"/>
      <c r="X1794" s="103"/>
      <c r="Y1794" s="103"/>
      <c r="Z1794" s="103"/>
      <c r="AA1794" s="103"/>
      <c r="AB1794" s="103"/>
      <c r="AC1794" s="103"/>
      <c r="AD1794" s="103"/>
      <c r="AE1794" s="103"/>
      <c r="AF1794" s="103"/>
      <c r="AG1794" s="103">
        <v>200</v>
      </c>
      <c r="AH1794" s="103"/>
      <c r="AI1794" s="103"/>
      <c r="AJ1794" s="103"/>
      <c r="AK1794" s="103"/>
      <c r="AL1794" s="103"/>
      <c r="AM1794" s="103"/>
      <c r="AN1794" s="103"/>
      <c r="AO1794" s="103"/>
      <c r="AP1794" s="103"/>
      <c r="AQ1794" s="103"/>
      <c r="AR1794" s="103"/>
      <c r="AS1794" s="103">
        <v>130</v>
      </c>
      <c r="AT1794" s="103">
        <v>70</v>
      </c>
      <c r="AU1794" s="103"/>
      <c r="AV1794" s="103"/>
      <c r="AW1794" s="104" t="str">
        <f>HYPERLINK("http://www.openstreetmap.org/?mlat=36.4444&amp;mlon=43.0949&amp;zoom=12#map=12/36.4444/43.0949","Maplink1")</f>
        <v>Maplink1</v>
      </c>
      <c r="AX1794" s="104" t="str">
        <f>HYPERLINK("https://www.google.iq/maps/search/+36.4444,43.0949/@36.4444,43.0949,14z?hl=en","Maplink2")</f>
        <v>Maplink2</v>
      </c>
      <c r="AY1794" s="104" t="str">
        <f>HYPERLINK("http://www.bing.com/maps/?lvl=14&amp;sty=h&amp;cp=36.4444~43.0949&amp;sp=point.36.4444_43.0949","Maplink3")</f>
        <v>Maplink3</v>
      </c>
    </row>
    <row r="1795" spans="1:51" x14ac:dyDescent="0.2">
      <c r="A1795" s="102">
        <v>17605</v>
      </c>
      <c r="B1795" s="103" t="s">
        <v>35</v>
      </c>
      <c r="C1795" s="103" t="s">
        <v>105</v>
      </c>
      <c r="D1795" s="103" t="s">
        <v>3411</v>
      </c>
      <c r="E1795" s="103" t="s">
        <v>3412</v>
      </c>
      <c r="F1795" s="103">
        <v>36.687055000000001</v>
      </c>
      <c r="G1795" s="103">
        <v>43.020972999999998</v>
      </c>
      <c r="H1795" s="102">
        <v>105</v>
      </c>
      <c r="I1795" s="102">
        <v>630</v>
      </c>
      <c r="J1795" s="103"/>
      <c r="K1795" s="103"/>
      <c r="L1795" s="103"/>
      <c r="M1795" s="103">
        <v>105</v>
      </c>
      <c r="N1795" s="103"/>
      <c r="O1795" s="103"/>
      <c r="P1795" s="103"/>
      <c r="Q1795" s="103"/>
      <c r="R1795" s="103"/>
      <c r="S1795" s="103"/>
      <c r="T1795" s="103"/>
      <c r="U1795" s="103"/>
      <c r="V1795" s="103"/>
      <c r="W1795" s="103"/>
      <c r="X1795" s="103"/>
      <c r="Y1795" s="103"/>
      <c r="Z1795" s="103"/>
      <c r="AA1795" s="103"/>
      <c r="AB1795" s="103"/>
      <c r="AC1795" s="103"/>
      <c r="AD1795" s="103"/>
      <c r="AE1795" s="103"/>
      <c r="AF1795" s="103"/>
      <c r="AG1795" s="103">
        <v>105</v>
      </c>
      <c r="AH1795" s="103"/>
      <c r="AI1795" s="103"/>
      <c r="AJ1795" s="103"/>
      <c r="AK1795" s="103"/>
      <c r="AL1795" s="103"/>
      <c r="AM1795" s="103"/>
      <c r="AN1795" s="103"/>
      <c r="AO1795" s="103">
        <v>105</v>
      </c>
      <c r="AP1795" s="103"/>
      <c r="AQ1795" s="103"/>
      <c r="AR1795" s="103"/>
      <c r="AS1795" s="103"/>
      <c r="AT1795" s="103"/>
      <c r="AU1795" s="103"/>
      <c r="AV1795" s="103"/>
      <c r="AW1795" s="104" t="str">
        <f>HYPERLINK("http://www.openstreetmap.org/?mlat=36.6871&amp;mlon=43.021&amp;zoom=12#map=12/36.6871/43.021","Maplink1")</f>
        <v>Maplink1</v>
      </c>
      <c r="AX1795" s="104" t="str">
        <f>HYPERLINK("https://www.google.iq/maps/search/+36.6871,43.021/@36.6871,43.021,14z?hl=en","Maplink2")</f>
        <v>Maplink2</v>
      </c>
      <c r="AY1795" s="104" t="str">
        <f>HYPERLINK("http://www.bing.com/maps/?lvl=14&amp;sty=h&amp;cp=36.6871~43.021&amp;sp=point.36.6871_43.021","Maplink3")</f>
        <v>Maplink3</v>
      </c>
    </row>
    <row r="1796" spans="1:51" x14ac:dyDescent="0.2">
      <c r="A1796" s="102">
        <v>33217</v>
      </c>
      <c r="B1796" s="103" t="s">
        <v>35</v>
      </c>
      <c r="C1796" s="103" t="s">
        <v>105</v>
      </c>
      <c r="D1796" s="103" t="s">
        <v>3413</v>
      </c>
      <c r="E1796" s="103" t="s">
        <v>3414</v>
      </c>
      <c r="F1796" s="103">
        <v>36.591090000000001</v>
      </c>
      <c r="G1796" s="103">
        <v>42.913249999999998</v>
      </c>
      <c r="H1796" s="102">
        <v>22</v>
      </c>
      <c r="I1796" s="102">
        <v>132</v>
      </c>
      <c r="J1796" s="103"/>
      <c r="K1796" s="103"/>
      <c r="L1796" s="103"/>
      <c r="M1796" s="103">
        <v>22</v>
      </c>
      <c r="N1796" s="103"/>
      <c r="O1796" s="103"/>
      <c r="P1796" s="103"/>
      <c r="Q1796" s="103"/>
      <c r="R1796" s="103"/>
      <c r="S1796" s="103"/>
      <c r="T1796" s="103"/>
      <c r="U1796" s="103"/>
      <c r="V1796" s="103"/>
      <c r="W1796" s="103"/>
      <c r="X1796" s="103"/>
      <c r="Y1796" s="103"/>
      <c r="Z1796" s="103"/>
      <c r="AA1796" s="103"/>
      <c r="AB1796" s="103"/>
      <c r="AC1796" s="103"/>
      <c r="AD1796" s="103"/>
      <c r="AE1796" s="103"/>
      <c r="AF1796" s="103"/>
      <c r="AG1796" s="103">
        <v>22</v>
      </c>
      <c r="AH1796" s="103"/>
      <c r="AI1796" s="103"/>
      <c r="AJ1796" s="103"/>
      <c r="AK1796" s="103"/>
      <c r="AL1796" s="103"/>
      <c r="AM1796" s="103"/>
      <c r="AN1796" s="103"/>
      <c r="AO1796" s="103">
        <v>22</v>
      </c>
      <c r="AP1796" s="103"/>
      <c r="AQ1796" s="103"/>
      <c r="AR1796" s="103"/>
      <c r="AS1796" s="103"/>
      <c r="AT1796" s="103"/>
      <c r="AU1796" s="103"/>
      <c r="AV1796" s="103"/>
      <c r="AW1796" s="104" t="str">
        <f>HYPERLINK("http://www.openstreetmap.org/?mlat=36.5911&amp;mlon=42.9132&amp;zoom=12#map=12/36.5911/42.9132","Maplink1")</f>
        <v>Maplink1</v>
      </c>
      <c r="AX1796" s="104" t="str">
        <f>HYPERLINK("https://www.google.iq/maps/search/+36.5911,42.9132/@36.5911,42.9132,14z?hl=en","Maplink2")</f>
        <v>Maplink2</v>
      </c>
      <c r="AY1796" s="104" t="str">
        <f>HYPERLINK("http://www.bing.com/maps/?lvl=14&amp;sty=h&amp;cp=36.5911~42.9132&amp;sp=point.36.5911_42.9132","Maplink3")</f>
        <v>Maplink3</v>
      </c>
    </row>
    <row r="1797" spans="1:51" x14ac:dyDescent="0.2">
      <c r="A1797" s="102">
        <v>23414</v>
      </c>
      <c r="B1797" s="103" t="s">
        <v>35</v>
      </c>
      <c r="C1797" s="103" t="s">
        <v>105</v>
      </c>
      <c r="D1797" s="103" t="s">
        <v>3451</v>
      </c>
      <c r="E1797" s="103" t="s">
        <v>3452</v>
      </c>
      <c r="F1797" s="103">
        <v>36.561627961500001</v>
      </c>
      <c r="G1797" s="103">
        <v>42.968067503699999</v>
      </c>
      <c r="H1797" s="102">
        <v>122</v>
      </c>
      <c r="I1797" s="102">
        <v>732</v>
      </c>
      <c r="J1797" s="103">
        <v>10</v>
      </c>
      <c r="K1797" s="103"/>
      <c r="L1797" s="103"/>
      <c r="M1797" s="103">
        <v>102</v>
      </c>
      <c r="N1797" s="103">
        <v>10</v>
      </c>
      <c r="O1797" s="103"/>
      <c r="P1797" s="103"/>
      <c r="Q1797" s="103"/>
      <c r="R1797" s="103"/>
      <c r="S1797" s="103"/>
      <c r="T1797" s="103"/>
      <c r="U1797" s="103"/>
      <c r="V1797" s="103"/>
      <c r="W1797" s="103"/>
      <c r="X1797" s="103"/>
      <c r="Y1797" s="103"/>
      <c r="Z1797" s="103"/>
      <c r="AA1797" s="103"/>
      <c r="AB1797" s="103"/>
      <c r="AC1797" s="103"/>
      <c r="AD1797" s="103"/>
      <c r="AE1797" s="103"/>
      <c r="AF1797" s="103"/>
      <c r="AG1797" s="103">
        <v>122</v>
      </c>
      <c r="AH1797" s="103"/>
      <c r="AI1797" s="103"/>
      <c r="AJ1797" s="103"/>
      <c r="AK1797" s="103"/>
      <c r="AL1797" s="103"/>
      <c r="AM1797" s="103"/>
      <c r="AN1797" s="103"/>
      <c r="AO1797" s="103">
        <v>122</v>
      </c>
      <c r="AP1797" s="103"/>
      <c r="AQ1797" s="103"/>
      <c r="AR1797" s="103"/>
      <c r="AS1797" s="103"/>
      <c r="AT1797" s="103"/>
      <c r="AU1797" s="103"/>
      <c r="AV1797" s="103"/>
      <c r="AW1797" s="104" t="str">
        <f>HYPERLINK("http://www.openstreetmap.org/?mlat=36.5616&amp;mlon=42.9681&amp;zoom=12#map=12/36.5616/42.9681","Maplink1")</f>
        <v>Maplink1</v>
      </c>
      <c r="AX1797" s="104" t="str">
        <f>HYPERLINK("https://www.google.iq/maps/search/+36.5616,42.9681/@36.5616,42.9681,14z?hl=en","Maplink2")</f>
        <v>Maplink2</v>
      </c>
      <c r="AY1797" s="104" t="str">
        <f>HYPERLINK("http://www.bing.com/maps/?lvl=14&amp;sty=h&amp;cp=36.5616~42.9681&amp;sp=point.36.5616_42.9681","Maplink3")</f>
        <v>Maplink3</v>
      </c>
    </row>
    <row r="1798" spans="1:51" x14ac:dyDescent="0.2">
      <c r="A1798" s="102">
        <v>22313</v>
      </c>
      <c r="B1798" s="103" t="s">
        <v>35</v>
      </c>
      <c r="C1798" s="103" t="s">
        <v>105</v>
      </c>
      <c r="D1798" s="103" t="s">
        <v>3383</v>
      </c>
      <c r="E1798" s="103" t="s">
        <v>3384</v>
      </c>
      <c r="F1798" s="103">
        <v>36.560757000000002</v>
      </c>
      <c r="G1798" s="103">
        <v>43.038520893200001</v>
      </c>
      <c r="H1798" s="102">
        <v>82</v>
      </c>
      <c r="I1798" s="102">
        <v>492</v>
      </c>
      <c r="J1798" s="103"/>
      <c r="K1798" s="103"/>
      <c r="L1798" s="103"/>
      <c r="M1798" s="103">
        <v>64</v>
      </c>
      <c r="N1798" s="103">
        <v>18</v>
      </c>
      <c r="O1798" s="103"/>
      <c r="P1798" s="103"/>
      <c r="Q1798" s="103"/>
      <c r="R1798" s="103"/>
      <c r="S1798" s="103"/>
      <c r="T1798" s="103"/>
      <c r="U1798" s="103"/>
      <c r="V1798" s="103"/>
      <c r="W1798" s="103"/>
      <c r="X1798" s="103"/>
      <c r="Y1798" s="103"/>
      <c r="Z1798" s="103"/>
      <c r="AA1798" s="103"/>
      <c r="AB1798" s="103"/>
      <c r="AC1798" s="103"/>
      <c r="AD1798" s="103"/>
      <c r="AE1798" s="103"/>
      <c r="AF1798" s="103"/>
      <c r="AG1798" s="103">
        <v>82</v>
      </c>
      <c r="AH1798" s="103"/>
      <c r="AI1798" s="103"/>
      <c r="AJ1798" s="103"/>
      <c r="AK1798" s="103"/>
      <c r="AL1798" s="103"/>
      <c r="AM1798" s="103"/>
      <c r="AN1798" s="103"/>
      <c r="AO1798" s="103">
        <v>82</v>
      </c>
      <c r="AP1798" s="103"/>
      <c r="AQ1798" s="103"/>
      <c r="AR1798" s="103"/>
      <c r="AS1798" s="103"/>
      <c r="AT1798" s="103"/>
      <c r="AU1798" s="103"/>
      <c r="AV1798" s="103"/>
      <c r="AW1798" s="104" t="str">
        <f>HYPERLINK("http://www.openstreetmap.org/?mlat=36.5608&amp;mlon=43.0385&amp;zoom=12#map=12/36.5608/43.0385","Maplink1")</f>
        <v>Maplink1</v>
      </c>
      <c r="AX1798" s="104" t="str">
        <f>HYPERLINK("https://www.google.iq/maps/search/+36.5608,43.0385/@36.5608,43.0385,14z?hl=en","Maplink2")</f>
        <v>Maplink2</v>
      </c>
      <c r="AY1798" s="104" t="str">
        <f>HYPERLINK("http://www.bing.com/maps/?lvl=14&amp;sty=h&amp;cp=36.5608~43.0385&amp;sp=point.36.5608_43.0385","Maplink3")</f>
        <v>Maplink3</v>
      </c>
    </row>
    <row r="1799" spans="1:51" x14ac:dyDescent="0.2">
      <c r="A1799" s="102">
        <v>17571</v>
      </c>
      <c r="B1799" s="103" t="s">
        <v>35</v>
      </c>
      <c r="C1799" s="103" t="s">
        <v>105</v>
      </c>
      <c r="D1799" s="103" t="s">
        <v>3423</v>
      </c>
      <c r="E1799" s="103" t="s">
        <v>3424</v>
      </c>
      <c r="F1799" s="103">
        <v>36.537539000000002</v>
      </c>
      <c r="G1799" s="103">
        <v>43.123257000000002</v>
      </c>
      <c r="H1799" s="102">
        <v>87</v>
      </c>
      <c r="I1799" s="102">
        <v>522</v>
      </c>
      <c r="J1799" s="103"/>
      <c r="K1799" s="103"/>
      <c r="L1799" s="103"/>
      <c r="M1799" s="103">
        <v>87</v>
      </c>
      <c r="N1799" s="103"/>
      <c r="O1799" s="103"/>
      <c r="P1799" s="103"/>
      <c r="Q1799" s="103"/>
      <c r="R1799" s="103"/>
      <c r="S1799" s="103"/>
      <c r="T1799" s="103"/>
      <c r="U1799" s="103"/>
      <c r="V1799" s="103"/>
      <c r="W1799" s="103"/>
      <c r="X1799" s="103"/>
      <c r="Y1799" s="103"/>
      <c r="Z1799" s="103"/>
      <c r="AA1799" s="103"/>
      <c r="AB1799" s="103"/>
      <c r="AC1799" s="103"/>
      <c r="AD1799" s="103"/>
      <c r="AE1799" s="103"/>
      <c r="AF1799" s="103"/>
      <c r="AG1799" s="103">
        <v>87</v>
      </c>
      <c r="AH1799" s="103"/>
      <c r="AI1799" s="103"/>
      <c r="AJ1799" s="103"/>
      <c r="AK1799" s="103"/>
      <c r="AL1799" s="103"/>
      <c r="AM1799" s="103"/>
      <c r="AN1799" s="103"/>
      <c r="AO1799" s="103">
        <v>87</v>
      </c>
      <c r="AP1799" s="103"/>
      <c r="AQ1799" s="103"/>
      <c r="AR1799" s="103"/>
      <c r="AS1799" s="103"/>
      <c r="AT1799" s="103"/>
      <c r="AU1799" s="103"/>
      <c r="AV1799" s="103"/>
      <c r="AW1799" s="104" t="str">
        <f>HYPERLINK("http://www.openstreetmap.org/?mlat=36.5375&amp;mlon=43.1233&amp;zoom=12#map=12/36.5375/43.1233","Maplink1")</f>
        <v>Maplink1</v>
      </c>
      <c r="AX1799" s="104" t="str">
        <f>HYPERLINK("https://www.google.iq/maps/search/+36.5375,43.1233/@36.5375,43.1233,14z?hl=en","Maplink2")</f>
        <v>Maplink2</v>
      </c>
      <c r="AY1799" s="104" t="str">
        <f>HYPERLINK("http://www.bing.com/maps/?lvl=14&amp;sty=h&amp;cp=36.5375~43.1233&amp;sp=point.36.5375_43.1233","Maplink3")</f>
        <v>Maplink3</v>
      </c>
    </row>
    <row r="1800" spans="1:51" x14ac:dyDescent="0.2">
      <c r="A1800" s="102">
        <v>17941</v>
      </c>
      <c r="B1800" s="103" t="s">
        <v>35</v>
      </c>
      <c r="C1800" s="103" t="s">
        <v>105</v>
      </c>
      <c r="D1800" s="103" t="s">
        <v>3379</v>
      </c>
      <c r="E1800" s="103" t="s">
        <v>3380</v>
      </c>
      <c r="F1800" s="103">
        <v>36.487360602899997</v>
      </c>
      <c r="G1800" s="103">
        <v>43.123826137000002</v>
      </c>
      <c r="H1800" s="102">
        <v>463</v>
      </c>
      <c r="I1800" s="102">
        <v>2778</v>
      </c>
      <c r="J1800" s="103"/>
      <c r="K1800" s="103"/>
      <c r="L1800" s="103"/>
      <c r="M1800" s="103">
        <v>463</v>
      </c>
      <c r="N1800" s="103"/>
      <c r="O1800" s="103"/>
      <c r="P1800" s="103"/>
      <c r="Q1800" s="103"/>
      <c r="R1800" s="103"/>
      <c r="S1800" s="103"/>
      <c r="T1800" s="103"/>
      <c r="U1800" s="103"/>
      <c r="V1800" s="103"/>
      <c r="W1800" s="103"/>
      <c r="X1800" s="103"/>
      <c r="Y1800" s="103">
        <v>18</v>
      </c>
      <c r="Z1800" s="103"/>
      <c r="AA1800" s="103"/>
      <c r="AB1800" s="103"/>
      <c r="AC1800" s="103"/>
      <c r="AD1800" s="103"/>
      <c r="AE1800" s="103"/>
      <c r="AF1800" s="103"/>
      <c r="AG1800" s="103">
        <v>445</v>
      </c>
      <c r="AH1800" s="103"/>
      <c r="AI1800" s="103"/>
      <c r="AJ1800" s="103"/>
      <c r="AK1800" s="103"/>
      <c r="AL1800" s="103"/>
      <c r="AM1800" s="103"/>
      <c r="AN1800" s="103"/>
      <c r="AO1800" s="103">
        <v>463</v>
      </c>
      <c r="AP1800" s="103"/>
      <c r="AQ1800" s="103"/>
      <c r="AR1800" s="103"/>
      <c r="AS1800" s="103"/>
      <c r="AT1800" s="103"/>
      <c r="AU1800" s="103"/>
      <c r="AV1800" s="103"/>
      <c r="AW1800" s="104" t="str">
        <f>HYPERLINK("http://www.openstreetmap.org/?mlat=36.4874&amp;mlon=43.1238&amp;zoom=12#map=12/36.4874/43.1238","Maplink1")</f>
        <v>Maplink1</v>
      </c>
      <c r="AX1800" s="104" t="str">
        <f>HYPERLINK("https://www.google.iq/maps/search/+36.4874,43.1238/@36.4874,43.1238,14z?hl=en","Maplink2")</f>
        <v>Maplink2</v>
      </c>
      <c r="AY1800" s="104" t="str">
        <f>HYPERLINK("http://www.bing.com/maps/?lvl=14&amp;sty=h&amp;cp=36.4874~43.1238&amp;sp=point.36.4874_43.1238","Maplink3")</f>
        <v>Maplink3</v>
      </c>
    </row>
    <row r="1801" spans="1:51" x14ac:dyDescent="0.2">
      <c r="A1801" s="102">
        <v>23480</v>
      </c>
      <c r="B1801" s="103" t="s">
        <v>35</v>
      </c>
      <c r="C1801" s="103" t="s">
        <v>105</v>
      </c>
      <c r="D1801" s="103" t="s">
        <v>3407</v>
      </c>
      <c r="E1801" s="103" t="s">
        <v>3408</v>
      </c>
      <c r="F1801" s="103">
        <v>36.560136980700001</v>
      </c>
      <c r="G1801" s="103">
        <v>42.964165626099998</v>
      </c>
      <c r="H1801" s="102">
        <v>154</v>
      </c>
      <c r="I1801" s="102">
        <v>924</v>
      </c>
      <c r="J1801" s="103">
        <v>10</v>
      </c>
      <c r="K1801" s="103"/>
      <c r="L1801" s="103"/>
      <c r="M1801" s="103">
        <v>144</v>
      </c>
      <c r="N1801" s="103"/>
      <c r="O1801" s="103"/>
      <c r="P1801" s="103"/>
      <c r="Q1801" s="103"/>
      <c r="R1801" s="103"/>
      <c r="S1801" s="103"/>
      <c r="T1801" s="103"/>
      <c r="U1801" s="103"/>
      <c r="V1801" s="103"/>
      <c r="W1801" s="103"/>
      <c r="X1801" s="103"/>
      <c r="Y1801" s="103"/>
      <c r="Z1801" s="103"/>
      <c r="AA1801" s="103"/>
      <c r="AB1801" s="103"/>
      <c r="AC1801" s="103"/>
      <c r="AD1801" s="103"/>
      <c r="AE1801" s="103"/>
      <c r="AF1801" s="103"/>
      <c r="AG1801" s="103">
        <v>154</v>
      </c>
      <c r="AH1801" s="103"/>
      <c r="AI1801" s="103"/>
      <c r="AJ1801" s="103"/>
      <c r="AK1801" s="103"/>
      <c r="AL1801" s="103"/>
      <c r="AM1801" s="103"/>
      <c r="AN1801" s="103"/>
      <c r="AO1801" s="103">
        <v>154</v>
      </c>
      <c r="AP1801" s="103"/>
      <c r="AQ1801" s="103"/>
      <c r="AR1801" s="103"/>
      <c r="AS1801" s="103"/>
      <c r="AT1801" s="103"/>
      <c r="AU1801" s="103"/>
      <c r="AV1801" s="103"/>
      <c r="AW1801" s="104" t="str">
        <f>HYPERLINK("http://www.openstreetmap.org/?mlat=36.5601&amp;mlon=42.9642&amp;zoom=12#map=12/36.5601/42.9642","Maplink1")</f>
        <v>Maplink1</v>
      </c>
      <c r="AX1801" s="104" t="str">
        <f>HYPERLINK("https://www.google.iq/maps/search/+36.5601,42.9642/@36.5601,42.9642,14z?hl=en","Maplink2")</f>
        <v>Maplink2</v>
      </c>
      <c r="AY1801" s="104" t="str">
        <f>HYPERLINK("http://www.bing.com/maps/?lvl=14&amp;sty=h&amp;cp=36.5601~42.9642&amp;sp=point.36.5601_42.9642","Maplink3")</f>
        <v>Maplink3</v>
      </c>
    </row>
    <row r="1802" spans="1:51" x14ac:dyDescent="0.2">
      <c r="A1802" s="102">
        <v>22647</v>
      </c>
      <c r="B1802" s="103" t="s">
        <v>35</v>
      </c>
      <c r="C1802" s="103" t="s">
        <v>105</v>
      </c>
      <c r="D1802" s="103" t="s">
        <v>3405</v>
      </c>
      <c r="E1802" s="103" t="s">
        <v>3406</v>
      </c>
      <c r="F1802" s="103">
        <v>36.611678144400003</v>
      </c>
      <c r="G1802" s="103">
        <v>42.970447462499997</v>
      </c>
      <c r="H1802" s="102">
        <v>110</v>
      </c>
      <c r="I1802" s="102">
        <v>660</v>
      </c>
      <c r="J1802" s="103"/>
      <c r="K1802" s="103"/>
      <c r="L1802" s="103"/>
      <c r="M1802" s="103">
        <v>110</v>
      </c>
      <c r="N1802" s="103"/>
      <c r="O1802" s="103"/>
      <c r="P1802" s="103"/>
      <c r="Q1802" s="103"/>
      <c r="R1802" s="103"/>
      <c r="S1802" s="103"/>
      <c r="T1802" s="103"/>
      <c r="U1802" s="103"/>
      <c r="V1802" s="103"/>
      <c r="W1802" s="103"/>
      <c r="X1802" s="103"/>
      <c r="Y1802" s="103">
        <v>10</v>
      </c>
      <c r="Z1802" s="103"/>
      <c r="AA1802" s="103"/>
      <c r="AB1802" s="103"/>
      <c r="AC1802" s="103"/>
      <c r="AD1802" s="103"/>
      <c r="AE1802" s="103"/>
      <c r="AF1802" s="103"/>
      <c r="AG1802" s="103">
        <v>100</v>
      </c>
      <c r="AH1802" s="103"/>
      <c r="AI1802" s="103"/>
      <c r="AJ1802" s="103"/>
      <c r="AK1802" s="103"/>
      <c r="AL1802" s="103"/>
      <c r="AM1802" s="103"/>
      <c r="AN1802" s="103"/>
      <c r="AO1802" s="103">
        <v>110</v>
      </c>
      <c r="AP1802" s="103"/>
      <c r="AQ1802" s="103"/>
      <c r="AR1802" s="103"/>
      <c r="AS1802" s="103"/>
      <c r="AT1802" s="103"/>
      <c r="AU1802" s="103"/>
      <c r="AV1802" s="103"/>
      <c r="AW1802" s="104" t="str">
        <f>HYPERLINK("http://www.openstreetmap.org/?mlat=36.6117&amp;mlon=42.9704&amp;zoom=12#map=12/36.6117/42.9704","Maplink1")</f>
        <v>Maplink1</v>
      </c>
      <c r="AX1802" s="104" t="str">
        <f>HYPERLINK("https://www.google.iq/maps/search/+36.6117,42.9704/@36.6117,42.9704,14z?hl=en","Maplink2")</f>
        <v>Maplink2</v>
      </c>
      <c r="AY1802" s="104" t="str">
        <f>HYPERLINK("http://www.bing.com/maps/?lvl=14&amp;sty=h&amp;cp=36.6117~42.9704&amp;sp=point.36.6117_42.9704","Maplink3")</f>
        <v>Maplink3</v>
      </c>
    </row>
    <row r="1803" spans="1:51" x14ac:dyDescent="0.2">
      <c r="A1803" s="102">
        <v>24634</v>
      </c>
      <c r="B1803" s="103" t="s">
        <v>35</v>
      </c>
      <c r="C1803" s="103" t="s">
        <v>105</v>
      </c>
      <c r="D1803" s="103" t="s">
        <v>3391</v>
      </c>
      <c r="E1803" s="103" t="s">
        <v>3392</v>
      </c>
      <c r="F1803" s="103">
        <v>36.511216621099997</v>
      </c>
      <c r="G1803" s="103">
        <v>42.827494103699998</v>
      </c>
      <c r="H1803" s="102">
        <v>330</v>
      </c>
      <c r="I1803" s="102">
        <v>1980</v>
      </c>
      <c r="J1803" s="103"/>
      <c r="K1803" s="103"/>
      <c r="L1803" s="103"/>
      <c r="M1803" s="103">
        <v>330</v>
      </c>
      <c r="N1803" s="103"/>
      <c r="O1803" s="103"/>
      <c r="P1803" s="103"/>
      <c r="Q1803" s="103"/>
      <c r="R1803" s="103"/>
      <c r="S1803" s="103"/>
      <c r="T1803" s="103"/>
      <c r="U1803" s="103"/>
      <c r="V1803" s="103"/>
      <c r="W1803" s="103"/>
      <c r="X1803" s="103"/>
      <c r="Y1803" s="103"/>
      <c r="Z1803" s="103"/>
      <c r="AA1803" s="103"/>
      <c r="AB1803" s="103"/>
      <c r="AC1803" s="103"/>
      <c r="AD1803" s="103"/>
      <c r="AE1803" s="103"/>
      <c r="AF1803" s="103"/>
      <c r="AG1803" s="103">
        <v>330</v>
      </c>
      <c r="AH1803" s="103"/>
      <c r="AI1803" s="103"/>
      <c r="AJ1803" s="103"/>
      <c r="AK1803" s="103"/>
      <c r="AL1803" s="103"/>
      <c r="AM1803" s="103"/>
      <c r="AN1803" s="103"/>
      <c r="AO1803" s="103">
        <v>330</v>
      </c>
      <c r="AP1803" s="103"/>
      <c r="AQ1803" s="103"/>
      <c r="AR1803" s="103"/>
      <c r="AS1803" s="103"/>
      <c r="AT1803" s="103"/>
      <c r="AU1803" s="103"/>
      <c r="AV1803" s="103"/>
      <c r="AW1803" s="104" t="str">
        <f>HYPERLINK("http://www.openstreetmap.org/?mlat=36.5112&amp;mlon=42.8275&amp;zoom=12#map=12/36.5112/42.8275","Maplink1")</f>
        <v>Maplink1</v>
      </c>
      <c r="AX1803" s="104" t="str">
        <f>HYPERLINK("https://www.google.iq/maps/search/+36.5112,42.8275/@36.5112,42.8275,14z?hl=en","Maplink2")</f>
        <v>Maplink2</v>
      </c>
      <c r="AY1803" s="104" t="str">
        <f>HYPERLINK("http://www.bing.com/maps/?lvl=14&amp;sty=h&amp;cp=36.5112~42.8275&amp;sp=point.36.5112_42.8275","Maplink3")</f>
        <v>Maplink3</v>
      </c>
    </row>
    <row r="1804" spans="1:51" x14ac:dyDescent="0.2">
      <c r="A1804" s="102">
        <v>17959</v>
      </c>
      <c r="B1804" s="103" t="s">
        <v>35</v>
      </c>
      <c r="C1804" s="103" t="s">
        <v>105</v>
      </c>
      <c r="D1804" s="103" t="s">
        <v>3393</v>
      </c>
      <c r="E1804" s="103" t="s">
        <v>3394</v>
      </c>
      <c r="F1804" s="103">
        <v>36.5976809438</v>
      </c>
      <c r="G1804" s="103">
        <v>43.105653425500002</v>
      </c>
      <c r="H1804" s="102">
        <v>618</v>
      </c>
      <c r="I1804" s="102">
        <v>3708</v>
      </c>
      <c r="J1804" s="103"/>
      <c r="K1804" s="103"/>
      <c r="L1804" s="103"/>
      <c r="M1804" s="103">
        <v>618</v>
      </c>
      <c r="N1804" s="103"/>
      <c r="O1804" s="103"/>
      <c r="P1804" s="103"/>
      <c r="Q1804" s="103"/>
      <c r="R1804" s="103"/>
      <c r="S1804" s="103"/>
      <c r="T1804" s="103"/>
      <c r="U1804" s="103"/>
      <c r="V1804" s="103"/>
      <c r="W1804" s="103">
        <v>5</v>
      </c>
      <c r="X1804" s="103"/>
      <c r="Y1804" s="103">
        <v>17</v>
      </c>
      <c r="Z1804" s="103"/>
      <c r="AA1804" s="103"/>
      <c r="AB1804" s="103"/>
      <c r="AC1804" s="103">
        <v>1</v>
      </c>
      <c r="AD1804" s="103"/>
      <c r="AE1804" s="103"/>
      <c r="AF1804" s="103"/>
      <c r="AG1804" s="103">
        <v>595</v>
      </c>
      <c r="AH1804" s="103"/>
      <c r="AI1804" s="103"/>
      <c r="AJ1804" s="103"/>
      <c r="AK1804" s="103"/>
      <c r="AL1804" s="103"/>
      <c r="AM1804" s="103"/>
      <c r="AN1804" s="103"/>
      <c r="AO1804" s="103">
        <v>618</v>
      </c>
      <c r="AP1804" s="103"/>
      <c r="AQ1804" s="103"/>
      <c r="AR1804" s="103"/>
      <c r="AS1804" s="103"/>
      <c r="AT1804" s="103"/>
      <c r="AU1804" s="103"/>
      <c r="AV1804" s="103"/>
      <c r="AW1804" s="104" t="str">
        <f>HYPERLINK("http://www.openstreetmap.org/?mlat=36.5977&amp;mlon=43.1057&amp;zoom=12#map=12/36.5977/43.1057","Maplink1")</f>
        <v>Maplink1</v>
      </c>
      <c r="AX1804" s="104" t="str">
        <f>HYPERLINK("https://www.google.iq/maps/search/+36.5977,43.1057/@36.5977,43.1057,14z?hl=en","Maplink2")</f>
        <v>Maplink2</v>
      </c>
      <c r="AY1804" s="104" t="str">
        <f>HYPERLINK("http://www.bing.com/maps/?lvl=14&amp;sty=h&amp;cp=36.5977~43.1057&amp;sp=point.36.5977_43.1057","Maplink3")</f>
        <v>Maplink3</v>
      </c>
    </row>
    <row r="1805" spans="1:51" x14ac:dyDescent="0.2">
      <c r="A1805" s="102">
        <v>17572</v>
      </c>
      <c r="B1805" s="103" t="s">
        <v>35</v>
      </c>
      <c r="C1805" s="103" t="s">
        <v>105</v>
      </c>
      <c r="D1805" s="103" t="s">
        <v>3395</v>
      </c>
      <c r="E1805" s="103" t="s">
        <v>3396</v>
      </c>
      <c r="F1805" s="103">
        <v>36.596669609999999</v>
      </c>
      <c r="G1805" s="103">
        <v>42.877592357300003</v>
      </c>
      <c r="H1805" s="102">
        <v>168</v>
      </c>
      <c r="I1805" s="102">
        <v>1008</v>
      </c>
      <c r="J1805" s="103"/>
      <c r="K1805" s="103"/>
      <c r="L1805" s="103"/>
      <c r="M1805" s="103">
        <v>168</v>
      </c>
      <c r="N1805" s="103"/>
      <c r="O1805" s="103"/>
      <c r="P1805" s="103"/>
      <c r="Q1805" s="103"/>
      <c r="R1805" s="103"/>
      <c r="S1805" s="103"/>
      <c r="T1805" s="103"/>
      <c r="U1805" s="103"/>
      <c r="V1805" s="103"/>
      <c r="W1805" s="103"/>
      <c r="X1805" s="103"/>
      <c r="Y1805" s="103">
        <v>51</v>
      </c>
      <c r="Z1805" s="103"/>
      <c r="AA1805" s="103"/>
      <c r="AB1805" s="103"/>
      <c r="AC1805" s="103"/>
      <c r="AD1805" s="103"/>
      <c r="AE1805" s="103"/>
      <c r="AF1805" s="103">
        <v>25</v>
      </c>
      <c r="AG1805" s="103">
        <v>92</v>
      </c>
      <c r="AH1805" s="103"/>
      <c r="AI1805" s="103"/>
      <c r="AJ1805" s="103"/>
      <c r="AK1805" s="103"/>
      <c r="AL1805" s="103"/>
      <c r="AM1805" s="103"/>
      <c r="AN1805" s="103"/>
      <c r="AO1805" s="103">
        <v>168</v>
      </c>
      <c r="AP1805" s="103"/>
      <c r="AQ1805" s="103"/>
      <c r="AR1805" s="103"/>
      <c r="AS1805" s="103"/>
      <c r="AT1805" s="103"/>
      <c r="AU1805" s="103"/>
      <c r="AV1805" s="103"/>
      <c r="AW1805" s="104" t="str">
        <f>HYPERLINK("http://www.openstreetmap.org/?mlat=36.5967&amp;mlon=42.8776&amp;zoom=12#map=12/36.5967/42.8776","Maplink1")</f>
        <v>Maplink1</v>
      </c>
      <c r="AX1805" s="104" t="str">
        <f>HYPERLINK("https://www.google.iq/maps/search/+36.5967,42.8776/@36.5967,42.8776,14z?hl=en","Maplink2")</f>
        <v>Maplink2</v>
      </c>
      <c r="AY1805" s="104" t="str">
        <f>HYPERLINK("http://www.bing.com/maps/?lvl=14&amp;sty=h&amp;cp=36.5967~42.8776&amp;sp=point.36.5967_42.8776","Maplink3")</f>
        <v>Maplink3</v>
      </c>
    </row>
    <row r="1806" spans="1:51" x14ac:dyDescent="0.2">
      <c r="A1806" s="102">
        <v>21605</v>
      </c>
      <c r="B1806" s="103" t="s">
        <v>35</v>
      </c>
      <c r="C1806" s="103" t="s">
        <v>105</v>
      </c>
      <c r="D1806" s="103" t="s">
        <v>3397</v>
      </c>
      <c r="E1806" s="103" t="s">
        <v>3398</v>
      </c>
      <c r="F1806" s="103">
        <v>36.591782799999997</v>
      </c>
      <c r="G1806" s="103">
        <v>43.041613300000002</v>
      </c>
      <c r="H1806" s="102">
        <v>140</v>
      </c>
      <c r="I1806" s="102">
        <v>840</v>
      </c>
      <c r="J1806" s="103"/>
      <c r="K1806" s="103"/>
      <c r="L1806" s="103"/>
      <c r="M1806" s="103">
        <v>131</v>
      </c>
      <c r="N1806" s="103">
        <v>9</v>
      </c>
      <c r="O1806" s="103"/>
      <c r="P1806" s="103"/>
      <c r="Q1806" s="103"/>
      <c r="R1806" s="103"/>
      <c r="S1806" s="103"/>
      <c r="T1806" s="103"/>
      <c r="U1806" s="103"/>
      <c r="V1806" s="103"/>
      <c r="W1806" s="103"/>
      <c r="X1806" s="103"/>
      <c r="Y1806" s="103">
        <v>8</v>
      </c>
      <c r="Z1806" s="103"/>
      <c r="AA1806" s="103"/>
      <c r="AB1806" s="103"/>
      <c r="AC1806" s="103"/>
      <c r="AD1806" s="103"/>
      <c r="AE1806" s="103"/>
      <c r="AF1806" s="103"/>
      <c r="AG1806" s="103">
        <v>132</v>
      </c>
      <c r="AH1806" s="103"/>
      <c r="AI1806" s="103"/>
      <c r="AJ1806" s="103"/>
      <c r="AK1806" s="103"/>
      <c r="AL1806" s="103"/>
      <c r="AM1806" s="103"/>
      <c r="AN1806" s="103"/>
      <c r="AO1806" s="103">
        <v>140</v>
      </c>
      <c r="AP1806" s="103"/>
      <c r="AQ1806" s="103"/>
      <c r="AR1806" s="103"/>
      <c r="AS1806" s="103"/>
      <c r="AT1806" s="103"/>
      <c r="AU1806" s="103"/>
      <c r="AV1806" s="103"/>
      <c r="AW1806" s="104" t="str">
        <f>HYPERLINK("http://www.openstreetmap.org/?mlat=36.5918&amp;mlon=43.0416&amp;zoom=12#map=12/36.5918/43.0416","Maplink1")</f>
        <v>Maplink1</v>
      </c>
      <c r="AX1806" s="104" t="str">
        <f>HYPERLINK("https://www.google.iq/maps/search/+36.5918,43.0416/@36.5918,43.0416,14z?hl=en","Maplink2")</f>
        <v>Maplink2</v>
      </c>
      <c r="AY1806" s="104" t="str">
        <f>HYPERLINK("http://www.bing.com/maps/?lvl=14&amp;sty=h&amp;cp=36.5918~43.0416&amp;sp=point.36.5918_43.0416","Maplink3")</f>
        <v>Maplink3</v>
      </c>
    </row>
    <row r="1807" spans="1:51" x14ac:dyDescent="0.2">
      <c r="A1807" s="102">
        <v>33522</v>
      </c>
      <c r="B1807" s="103" t="s">
        <v>35</v>
      </c>
      <c r="C1807" s="103" t="s">
        <v>105</v>
      </c>
      <c r="D1807" s="103" t="s">
        <v>3445</v>
      </c>
      <c r="E1807" s="103" t="s">
        <v>3446</v>
      </c>
      <c r="F1807" s="103">
        <v>36.575426999999998</v>
      </c>
      <c r="G1807" s="103">
        <v>42.907242887999999</v>
      </c>
      <c r="H1807" s="102">
        <v>190</v>
      </c>
      <c r="I1807" s="102">
        <v>1140</v>
      </c>
      <c r="J1807" s="103">
        <v>80</v>
      </c>
      <c r="K1807" s="103"/>
      <c r="L1807" s="103"/>
      <c r="M1807" s="103">
        <v>110</v>
      </c>
      <c r="N1807" s="103"/>
      <c r="O1807" s="103"/>
      <c r="P1807" s="103"/>
      <c r="Q1807" s="103"/>
      <c r="R1807" s="103"/>
      <c r="S1807" s="103"/>
      <c r="T1807" s="103"/>
      <c r="U1807" s="103"/>
      <c r="V1807" s="103"/>
      <c r="W1807" s="103"/>
      <c r="X1807" s="103"/>
      <c r="Y1807" s="103"/>
      <c r="Z1807" s="103"/>
      <c r="AA1807" s="103"/>
      <c r="AB1807" s="103"/>
      <c r="AC1807" s="103"/>
      <c r="AD1807" s="103"/>
      <c r="AE1807" s="103"/>
      <c r="AF1807" s="103"/>
      <c r="AG1807" s="103">
        <v>190</v>
      </c>
      <c r="AH1807" s="103"/>
      <c r="AI1807" s="103"/>
      <c r="AJ1807" s="103"/>
      <c r="AK1807" s="103"/>
      <c r="AL1807" s="103"/>
      <c r="AM1807" s="103"/>
      <c r="AN1807" s="103"/>
      <c r="AO1807" s="103">
        <v>190</v>
      </c>
      <c r="AP1807" s="103"/>
      <c r="AQ1807" s="103"/>
      <c r="AR1807" s="103"/>
      <c r="AS1807" s="103"/>
      <c r="AT1807" s="103"/>
      <c r="AU1807" s="103"/>
      <c r="AV1807" s="103"/>
      <c r="AW1807" s="104" t="str">
        <f>HYPERLINK("http://www.openstreetmap.org/?mlat=36.5754&amp;mlon=42.9072&amp;zoom=12#map=12/36.5754/42.9072","Maplink1")</f>
        <v>Maplink1</v>
      </c>
      <c r="AX1807" s="104" t="str">
        <f>HYPERLINK("https://www.google.iq/maps/search/+36.5754,42.9072/@36.5754,42.9072,14z?hl=en","Maplink2")</f>
        <v>Maplink2</v>
      </c>
      <c r="AY1807" s="104" t="str">
        <f>HYPERLINK("http://www.bing.com/maps/?lvl=14&amp;sty=h&amp;cp=36.5754~42.9072&amp;sp=point.36.5754_42.9072","Maplink3")</f>
        <v>Maplink3</v>
      </c>
    </row>
    <row r="1808" spans="1:51" x14ac:dyDescent="0.2">
      <c r="A1808" s="102">
        <v>17788</v>
      </c>
      <c r="B1808" s="103" t="s">
        <v>35</v>
      </c>
      <c r="C1808" s="103" t="s">
        <v>105</v>
      </c>
      <c r="D1808" s="103" t="s">
        <v>3449</v>
      </c>
      <c r="E1808" s="103" t="s">
        <v>3450</v>
      </c>
      <c r="F1808" s="103">
        <v>36.505459660600003</v>
      </c>
      <c r="G1808" s="103">
        <v>42.783846506400003</v>
      </c>
      <c r="H1808" s="102">
        <v>500</v>
      </c>
      <c r="I1808" s="102">
        <v>3000</v>
      </c>
      <c r="J1808" s="103"/>
      <c r="K1808" s="103"/>
      <c r="L1808" s="103"/>
      <c r="M1808" s="103">
        <v>500</v>
      </c>
      <c r="N1808" s="103"/>
      <c r="O1808" s="103"/>
      <c r="P1808" s="103"/>
      <c r="Q1808" s="103"/>
      <c r="R1808" s="103"/>
      <c r="S1808" s="103"/>
      <c r="T1808" s="103"/>
      <c r="U1808" s="103"/>
      <c r="V1808" s="103"/>
      <c r="W1808" s="103"/>
      <c r="X1808" s="103"/>
      <c r="Y1808" s="103"/>
      <c r="Z1808" s="103"/>
      <c r="AA1808" s="103"/>
      <c r="AB1808" s="103"/>
      <c r="AC1808" s="103"/>
      <c r="AD1808" s="103"/>
      <c r="AE1808" s="103"/>
      <c r="AF1808" s="103"/>
      <c r="AG1808" s="103">
        <v>500</v>
      </c>
      <c r="AH1808" s="103"/>
      <c r="AI1808" s="103"/>
      <c r="AJ1808" s="103"/>
      <c r="AK1808" s="103"/>
      <c r="AL1808" s="103"/>
      <c r="AM1808" s="103"/>
      <c r="AN1808" s="103"/>
      <c r="AO1808" s="103">
        <v>500</v>
      </c>
      <c r="AP1808" s="103"/>
      <c r="AQ1808" s="103"/>
      <c r="AR1808" s="103"/>
      <c r="AS1808" s="103"/>
      <c r="AT1808" s="103"/>
      <c r="AU1808" s="103"/>
      <c r="AV1808" s="103"/>
      <c r="AW1808" s="104" t="str">
        <f>HYPERLINK("http://www.openstreetmap.org/?mlat=36.5055&amp;mlon=42.7838&amp;zoom=12#map=12/36.5055/42.7838","Maplink1")</f>
        <v>Maplink1</v>
      </c>
      <c r="AX1808" s="104" t="str">
        <f>HYPERLINK("https://www.google.iq/maps/search/+36.5055,42.7838/@36.5055,42.7838,14z?hl=en","Maplink2")</f>
        <v>Maplink2</v>
      </c>
      <c r="AY1808" s="104" t="str">
        <f>HYPERLINK("http://www.bing.com/maps/?lvl=14&amp;sty=h&amp;cp=36.5055~42.7838&amp;sp=point.36.5055_42.7838","Maplink3")</f>
        <v>Maplink3</v>
      </c>
    </row>
    <row r="1809" spans="1:51" x14ac:dyDescent="0.2">
      <c r="A1809" s="102">
        <v>25368</v>
      </c>
      <c r="B1809" s="103" t="s">
        <v>35</v>
      </c>
      <c r="C1809" s="103" t="s">
        <v>105</v>
      </c>
      <c r="D1809" s="103" t="s">
        <v>3447</v>
      </c>
      <c r="E1809" s="103" t="s">
        <v>3448</v>
      </c>
      <c r="F1809" s="103">
        <v>36.6324847988</v>
      </c>
      <c r="G1809" s="103">
        <v>42.984591482900001</v>
      </c>
      <c r="H1809" s="102">
        <v>869</v>
      </c>
      <c r="I1809" s="102">
        <v>5214</v>
      </c>
      <c r="J1809" s="103"/>
      <c r="K1809" s="103"/>
      <c r="L1809" s="103"/>
      <c r="M1809" s="103">
        <v>869</v>
      </c>
      <c r="N1809" s="103"/>
      <c r="O1809" s="103"/>
      <c r="P1809" s="103"/>
      <c r="Q1809" s="103"/>
      <c r="R1809" s="103"/>
      <c r="S1809" s="103"/>
      <c r="T1809" s="103"/>
      <c r="U1809" s="103"/>
      <c r="V1809" s="103"/>
      <c r="W1809" s="103"/>
      <c r="X1809" s="103"/>
      <c r="Y1809" s="103"/>
      <c r="Z1809" s="103"/>
      <c r="AA1809" s="103"/>
      <c r="AB1809" s="103"/>
      <c r="AC1809" s="103"/>
      <c r="AD1809" s="103"/>
      <c r="AE1809" s="103"/>
      <c r="AF1809" s="103"/>
      <c r="AG1809" s="103">
        <v>869</v>
      </c>
      <c r="AH1809" s="103"/>
      <c r="AI1809" s="103"/>
      <c r="AJ1809" s="103"/>
      <c r="AK1809" s="103"/>
      <c r="AL1809" s="103"/>
      <c r="AM1809" s="103"/>
      <c r="AN1809" s="103"/>
      <c r="AO1809" s="103"/>
      <c r="AP1809" s="103"/>
      <c r="AQ1809" s="103"/>
      <c r="AR1809" s="103"/>
      <c r="AS1809" s="103"/>
      <c r="AT1809" s="103">
        <v>869</v>
      </c>
      <c r="AU1809" s="103"/>
      <c r="AV1809" s="103"/>
      <c r="AW1809" s="104" t="str">
        <f>HYPERLINK("http://www.openstreetmap.org/?mlat=36.6325&amp;mlon=42.9846&amp;zoom=12#map=12/36.6325/42.9846","Maplink1")</f>
        <v>Maplink1</v>
      </c>
      <c r="AX1809" s="104" t="str">
        <f>HYPERLINK("https://www.google.iq/maps/search/+36.6325,42.9846/@36.6325,42.9846,14z?hl=en","Maplink2")</f>
        <v>Maplink2</v>
      </c>
      <c r="AY1809" s="104" t="str">
        <f>HYPERLINK("http://www.bing.com/maps/?lvl=14&amp;sty=h&amp;cp=36.6325~42.9846&amp;sp=point.36.6325_42.9846","Maplink3")</f>
        <v>Maplink3</v>
      </c>
    </row>
    <row r="1810" spans="1:51" x14ac:dyDescent="0.2">
      <c r="A1810" s="102">
        <v>26077</v>
      </c>
      <c r="B1810" s="103" t="s">
        <v>36</v>
      </c>
      <c r="C1810" s="103" t="s">
        <v>106</v>
      </c>
      <c r="D1810" s="103" t="s">
        <v>3474</v>
      </c>
      <c r="E1810" s="103" t="s">
        <v>3475</v>
      </c>
      <c r="F1810" s="103">
        <v>34.447636699999997</v>
      </c>
      <c r="G1810" s="103">
        <v>43.798894973000003</v>
      </c>
      <c r="H1810" s="102">
        <v>1219</v>
      </c>
      <c r="I1810" s="102">
        <v>7314</v>
      </c>
      <c r="J1810" s="103"/>
      <c r="K1810" s="103"/>
      <c r="L1810" s="103">
        <v>5</v>
      </c>
      <c r="M1810" s="103">
        <v>1214</v>
      </c>
      <c r="N1810" s="103"/>
      <c r="O1810" s="103"/>
      <c r="P1810" s="103"/>
      <c r="Q1810" s="103"/>
      <c r="R1810" s="103"/>
      <c r="S1810" s="103"/>
      <c r="T1810" s="103"/>
      <c r="U1810" s="103"/>
      <c r="V1810" s="103"/>
      <c r="W1810" s="103"/>
      <c r="X1810" s="103"/>
      <c r="Y1810" s="103"/>
      <c r="Z1810" s="103"/>
      <c r="AA1810" s="103">
        <v>106</v>
      </c>
      <c r="AB1810" s="103"/>
      <c r="AC1810" s="103">
        <v>725</v>
      </c>
      <c r="AD1810" s="103"/>
      <c r="AE1810" s="103"/>
      <c r="AF1810" s="103"/>
      <c r="AG1810" s="103"/>
      <c r="AH1810" s="103"/>
      <c r="AI1810" s="103">
        <v>388</v>
      </c>
      <c r="AJ1810" s="103"/>
      <c r="AK1810" s="103"/>
      <c r="AL1810" s="103"/>
      <c r="AM1810" s="103"/>
      <c r="AN1810" s="103">
        <v>1190</v>
      </c>
      <c r="AO1810" s="103">
        <v>29</v>
      </c>
      <c r="AP1810" s="103"/>
      <c r="AQ1810" s="103"/>
      <c r="AR1810" s="103"/>
      <c r="AS1810" s="103"/>
      <c r="AT1810" s="103"/>
      <c r="AU1810" s="103"/>
      <c r="AV1810" s="103"/>
      <c r="AW1810" s="104" t="str">
        <f>HYPERLINK("http://www.openstreetmap.org/?mlat=34.4476&amp;mlon=43.7989&amp;zoom=12#map=12/34.4476/43.7989","Maplink1")</f>
        <v>Maplink1</v>
      </c>
      <c r="AX1810" s="104" t="str">
        <f>HYPERLINK("https://www.google.iq/maps/search/+34.4476,43.7989/@34.4476,43.7989,14z?hl=en","Maplink2")</f>
        <v>Maplink2</v>
      </c>
      <c r="AY1810" s="104" t="str">
        <f>HYPERLINK("http://www.bing.com/maps/?lvl=14&amp;sty=h&amp;cp=34.4476~43.7989&amp;sp=point.34.4476_43.7989","Maplink3")</f>
        <v>Maplink3</v>
      </c>
    </row>
    <row r="1811" spans="1:51" x14ac:dyDescent="0.2">
      <c r="A1811" s="102">
        <v>20587</v>
      </c>
      <c r="B1811" s="103" t="s">
        <v>36</v>
      </c>
      <c r="C1811" s="103" t="s">
        <v>106</v>
      </c>
      <c r="D1811" s="103" t="s">
        <v>3481</v>
      </c>
      <c r="E1811" s="103" t="s">
        <v>3482</v>
      </c>
      <c r="F1811" s="103">
        <v>34.455692169999999</v>
      </c>
      <c r="G1811" s="103">
        <v>43.798793312999997</v>
      </c>
      <c r="H1811" s="102">
        <v>1485</v>
      </c>
      <c r="I1811" s="102">
        <v>8910</v>
      </c>
      <c r="J1811" s="103"/>
      <c r="K1811" s="103"/>
      <c r="L1811" s="103">
        <v>18</v>
      </c>
      <c r="M1811" s="103">
        <v>1465</v>
      </c>
      <c r="N1811" s="103">
        <v>2</v>
      </c>
      <c r="O1811" s="103"/>
      <c r="P1811" s="103"/>
      <c r="Q1811" s="103"/>
      <c r="R1811" s="103"/>
      <c r="S1811" s="103"/>
      <c r="T1811" s="103"/>
      <c r="U1811" s="103"/>
      <c r="V1811" s="103"/>
      <c r="W1811" s="103">
        <v>8</v>
      </c>
      <c r="X1811" s="103"/>
      <c r="Y1811" s="103"/>
      <c r="Z1811" s="103"/>
      <c r="AA1811" s="103">
        <v>92</v>
      </c>
      <c r="AB1811" s="103"/>
      <c r="AC1811" s="103">
        <v>785</v>
      </c>
      <c r="AD1811" s="103"/>
      <c r="AE1811" s="103"/>
      <c r="AF1811" s="103"/>
      <c r="AG1811" s="103"/>
      <c r="AH1811" s="103"/>
      <c r="AI1811" s="103">
        <v>553</v>
      </c>
      <c r="AJ1811" s="103">
        <v>47</v>
      </c>
      <c r="AK1811" s="103"/>
      <c r="AL1811" s="103"/>
      <c r="AM1811" s="103"/>
      <c r="AN1811" s="103">
        <v>1038</v>
      </c>
      <c r="AO1811" s="103">
        <v>407</v>
      </c>
      <c r="AP1811" s="103"/>
      <c r="AQ1811" s="103">
        <v>28</v>
      </c>
      <c r="AR1811" s="103"/>
      <c r="AS1811" s="103">
        <v>12</v>
      </c>
      <c r="AT1811" s="103"/>
      <c r="AU1811" s="103"/>
      <c r="AV1811" s="103"/>
      <c r="AW1811" s="104" t="str">
        <f>HYPERLINK("http://www.openstreetmap.org/?mlat=34.4557&amp;mlon=43.7988&amp;zoom=12#map=12/34.4557/43.7988","Maplink1")</f>
        <v>Maplink1</v>
      </c>
      <c r="AX1811" s="104" t="str">
        <f>HYPERLINK("https://www.google.iq/maps/search/+34.4557,43.7988/@34.4557,43.7988,14z?hl=en","Maplink2")</f>
        <v>Maplink2</v>
      </c>
      <c r="AY1811" s="104" t="str">
        <f>HYPERLINK("http://www.bing.com/maps/?lvl=14&amp;sty=h&amp;cp=34.4557~43.7988&amp;sp=point.34.4557_43.7988","Maplink3")</f>
        <v>Maplink3</v>
      </c>
    </row>
    <row r="1812" spans="1:51" x14ac:dyDescent="0.2">
      <c r="A1812" s="102">
        <v>26078</v>
      </c>
      <c r="B1812" s="103" t="s">
        <v>36</v>
      </c>
      <c r="C1812" s="103" t="s">
        <v>106</v>
      </c>
      <c r="D1812" s="103" t="s">
        <v>3480</v>
      </c>
      <c r="E1812" s="103" t="s">
        <v>195</v>
      </c>
      <c r="F1812" s="103">
        <v>34.462648479999999</v>
      </c>
      <c r="G1812" s="103">
        <v>43.791137171999999</v>
      </c>
      <c r="H1812" s="102">
        <v>831</v>
      </c>
      <c r="I1812" s="102">
        <v>4986</v>
      </c>
      <c r="J1812" s="103"/>
      <c r="K1812" s="103"/>
      <c r="L1812" s="103">
        <v>4</v>
      </c>
      <c r="M1812" s="103">
        <v>827</v>
      </c>
      <c r="N1812" s="103"/>
      <c r="O1812" s="103"/>
      <c r="P1812" s="103"/>
      <c r="Q1812" s="103"/>
      <c r="R1812" s="103"/>
      <c r="S1812" s="103"/>
      <c r="T1812" s="103"/>
      <c r="U1812" s="103"/>
      <c r="V1812" s="103"/>
      <c r="W1812" s="103">
        <v>1</v>
      </c>
      <c r="X1812" s="103"/>
      <c r="Y1812" s="103"/>
      <c r="Z1812" s="103"/>
      <c r="AA1812" s="103">
        <v>135</v>
      </c>
      <c r="AB1812" s="103"/>
      <c r="AC1812" s="103">
        <v>471</v>
      </c>
      <c r="AD1812" s="103"/>
      <c r="AE1812" s="103"/>
      <c r="AF1812" s="103"/>
      <c r="AG1812" s="103"/>
      <c r="AH1812" s="103"/>
      <c r="AI1812" s="103">
        <v>100</v>
      </c>
      <c r="AJ1812" s="103">
        <v>124</v>
      </c>
      <c r="AK1812" s="103"/>
      <c r="AL1812" s="103"/>
      <c r="AM1812" s="103"/>
      <c r="AN1812" s="103">
        <v>831</v>
      </c>
      <c r="AO1812" s="103"/>
      <c r="AP1812" s="103"/>
      <c r="AQ1812" s="103"/>
      <c r="AR1812" s="103"/>
      <c r="AS1812" s="103"/>
      <c r="AT1812" s="103"/>
      <c r="AU1812" s="103"/>
      <c r="AV1812" s="103"/>
      <c r="AW1812" s="104" t="str">
        <f>HYPERLINK("http://www.openstreetmap.org/?mlat=34.4626&amp;mlon=43.7911&amp;zoom=12#map=12/34.4626/43.7911","Maplink1")</f>
        <v>Maplink1</v>
      </c>
      <c r="AX1812" s="104" t="str">
        <f>HYPERLINK("https://www.google.iq/maps/search/+34.4626,43.7911/@34.4626,43.7911,14z?hl=en","Maplink2")</f>
        <v>Maplink2</v>
      </c>
      <c r="AY1812" s="104" t="str">
        <f>HYPERLINK("http://www.bing.com/maps/?lvl=14&amp;sty=h&amp;cp=34.4626~43.7911&amp;sp=point.34.4626_43.7911","Maplink3")</f>
        <v>Maplink3</v>
      </c>
    </row>
    <row r="1813" spans="1:51" x14ac:dyDescent="0.2">
      <c r="A1813" s="102">
        <v>24619</v>
      </c>
      <c r="B1813" s="103" t="s">
        <v>36</v>
      </c>
      <c r="C1813" s="103" t="s">
        <v>106</v>
      </c>
      <c r="D1813" s="103" t="s">
        <v>3483</v>
      </c>
      <c r="E1813" s="103" t="s">
        <v>3484</v>
      </c>
      <c r="F1813" s="103">
        <v>34.460880000000003</v>
      </c>
      <c r="G1813" s="103">
        <v>43.790154499000003</v>
      </c>
      <c r="H1813" s="102">
        <v>236</v>
      </c>
      <c r="I1813" s="102">
        <v>1416</v>
      </c>
      <c r="J1813" s="103"/>
      <c r="K1813" s="103"/>
      <c r="L1813" s="103">
        <v>4</v>
      </c>
      <c r="M1813" s="103">
        <v>232</v>
      </c>
      <c r="N1813" s="103"/>
      <c r="O1813" s="103"/>
      <c r="P1813" s="103"/>
      <c r="Q1813" s="103"/>
      <c r="R1813" s="103"/>
      <c r="S1813" s="103"/>
      <c r="T1813" s="103"/>
      <c r="U1813" s="103"/>
      <c r="V1813" s="103"/>
      <c r="W1813" s="103"/>
      <c r="X1813" s="103"/>
      <c r="Y1813" s="103"/>
      <c r="Z1813" s="103"/>
      <c r="AA1813" s="103">
        <v>89</v>
      </c>
      <c r="AB1813" s="103"/>
      <c r="AC1813" s="103">
        <v>111</v>
      </c>
      <c r="AD1813" s="103"/>
      <c r="AE1813" s="103"/>
      <c r="AF1813" s="103"/>
      <c r="AG1813" s="103"/>
      <c r="AH1813" s="103"/>
      <c r="AI1813" s="103"/>
      <c r="AJ1813" s="103">
        <v>36</v>
      </c>
      <c r="AK1813" s="103"/>
      <c r="AL1813" s="103"/>
      <c r="AM1813" s="103"/>
      <c r="AN1813" s="103">
        <v>105</v>
      </c>
      <c r="AO1813" s="103">
        <v>131</v>
      </c>
      <c r="AP1813" s="103"/>
      <c r="AQ1813" s="103"/>
      <c r="AR1813" s="103"/>
      <c r="AS1813" s="103"/>
      <c r="AT1813" s="103"/>
      <c r="AU1813" s="103"/>
      <c r="AV1813" s="103"/>
      <c r="AW1813" s="104" t="str">
        <f>HYPERLINK("http://www.openstreetmap.org/?mlat=34.4609&amp;mlon=43.7902&amp;zoom=12#map=12/34.4609/43.7902","Maplink1")</f>
        <v>Maplink1</v>
      </c>
      <c r="AX1813" s="104" t="str">
        <f>HYPERLINK("https://www.google.iq/maps/search/+34.4609,43.7902/@34.4609,43.7902,14z?hl=en","Maplink2")</f>
        <v>Maplink2</v>
      </c>
      <c r="AY1813" s="104" t="str">
        <f>HYPERLINK("http://www.bing.com/maps/?lvl=14&amp;sty=h&amp;cp=34.4609~43.7902&amp;sp=point.34.4609_43.7902","Maplink3")</f>
        <v>Maplink3</v>
      </c>
    </row>
    <row r="1814" spans="1:51" x14ac:dyDescent="0.2">
      <c r="A1814" s="102">
        <v>26116</v>
      </c>
      <c r="B1814" s="103" t="s">
        <v>36</v>
      </c>
      <c r="C1814" s="103" t="s">
        <v>106</v>
      </c>
      <c r="D1814" s="103" t="s">
        <v>3476</v>
      </c>
      <c r="E1814" s="103" t="s">
        <v>3477</v>
      </c>
      <c r="F1814" s="103">
        <v>34.409397200000001</v>
      </c>
      <c r="G1814" s="103">
        <v>43.789427445999998</v>
      </c>
      <c r="H1814" s="102">
        <v>2826</v>
      </c>
      <c r="I1814" s="102">
        <v>16956</v>
      </c>
      <c r="J1814" s="103"/>
      <c r="K1814" s="103"/>
      <c r="L1814" s="103"/>
      <c r="M1814" s="103">
        <v>2801</v>
      </c>
      <c r="N1814" s="103">
        <v>25</v>
      </c>
      <c r="O1814" s="103"/>
      <c r="P1814" s="103"/>
      <c r="Q1814" s="103"/>
      <c r="R1814" s="103"/>
      <c r="S1814" s="103"/>
      <c r="T1814" s="103"/>
      <c r="U1814" s="103"/>
      <c r="V1814" s="103"/>
      <c r="W1814" s="103">
        <v>8</v>
      </c>
      <c r="X1814" s="103"/>
      <c r="Y1814" s="103"/>
      <c r="Z1814" s="103"/>
      <c r="AA1814" s="103">
        <v>370</v>
      </c>
      <c r="AB1814" s="103"/>
      <c r="AC1814" s="103">
        <v>837</v>
      </c>
      <c r="AD1814" s="103"/>
      <c r="AE1814" s="103"/>
      <c r="AF1814" s="103"/>
      <c r="AG1814" s="103"/>
      <c r="AH1814" s="103"/>
      <c r="AI1814" s="103">
        <v>1163</v>
      </c>
      <c r="AJ1814" s="103">
        <v>448</v>
      </c>
      <c r="AK1814" s="103"/>
      <c r="AL1814" s="103"/>
      <c r="AM1814" s="103"/>
      <c r="AN1814" s="103">
        <v>2036</v>
      </c>
      <c r="AO1814" s="103">
        <v>785</v>
      </c>
      <c r="AP1814" s="103"/>
      <c r="AQ1814" s="103"/>
      <c r="AR1814" s="103"/>
      <c r="AS1814" s="103">
        <v>5</v>
      </c>
      <c r="AT1814" s="103"/>
      <c r="AU1814" s="103"/>
      <c r="AV1814" s="103"/>
      <c r="AW1814" s="104" t="str">
        <f>HYPERLINK("http://www.openstreetmap.org/?mlat=34.4094&amp;mlon=43.7894&amp;zoom=12#map=12/34.4094/43.7894","Maplink1")</f>
        <v>Maplink1</v>
      </c>
      <c r="AX1814" s="104" t="str">
        <f>HYPERLINK("https://www.google.iq/maps/search/+34.4094,43.7894/@34.4094,43.7894,14z?hl=en","Maplink2")</f>
        <v>Maplink2</v>
      </c>
      <c r="AY1814" s="104" t="str">
        <f>HYPERLINK("http://www.bing.com/maps/?lvl=14&amp;sty=h&amp;cp=34.4094~43.7894&amp;sp=point.34.4094_43.7894","Maplink3")</f>
        <v>Maplink3</v>
      </c>
    </row>
    <row r="1815" spans="1:51" x14ac:dyDescent="0.2">
      <c r="A1815" s="102">
        <v>20746</v>
      </c>
      <c r="B1815" s="103" t="s">
        <v>36</v>
      </c>
      <c r="C1815" s="103" t="s">
        <v>106</v>
      </c>
      <c r="D1815" s="103" t="s">
        <v>3479</v>
      </c>
      <c r="E1815" s="103" t="s">
        <v>589</v>
      </c>
      <c r="F1815" s="103">
        <v>34.476990000000001</v>
      </c>
      <c r="G1815" s="103">
        <v>43.790377745999997</v>
      </c>
      <c r="H1815" s="102">
        <v>637</v>
      </c>
      <c r="I1815" s="102">
        <v>3822</v>
      </c>
      <c r="J1815" s="103"/>
      <c r="K1815" s="103"/>
      <c r="L1815" s="103">
        <v>3</v>
      </c>
      <c r="M1815" s="103">
        <v>634</v>
      </c>
      <c r="N1815" s="103"/>
      <c r="O1815" s="103"/>
      <c r="P1815" s="103"/>
      <c r="Q1815" s="103"/>
      <c r="R1815" s="103"/>
      <c r="S1815" s="103"/>
      <c r="T1815" s="103"/>
      <c r="U1815" s="103"/>
      <c r="V1815" s="103"/>
      <c r="W1815" s="103"/>
      <c r="X1815" s="103"/>
      <c r="Y1815" s="103"/>
      <c r="Z1815" s="103"/>
      <c r="AA1815" s="103">
        <v>95</v>
      </c>
      <c r="AB1815" s="103"/>
      <c r="AC1815" s="103">
        <v>205</v>
      </c>
      <c r="AD1815" s="103"/>
      <c r="AE1815" s="103"/>
      <c r="AF1815" s="103"/>
      <c r="AG1815" s="103"/>
      <c r="AH1815" s="103"/>
      <c r="AI1815" s="103">
        <v>153</v>
      </c>
      <c r="AJ1815" s="103">
        <v>184</v>
      </c>
      <c r="AK1815" s="103"/>
      <c r="AL1815" s="103"/>
      <c r="AM1815" s="103"/>
      <c r="AN1815" s="103">
        <v>596</v>
      </c>
      <c r="AO1815" s="103">
        <v>32</v>
      </c>
      <c r="AP1815" s="103">
        <v>9</v>
      </c>
      <c r="AQ1815" s="103"/>
      <c r="AR1815" s="103"/>
      <c r="AS1815" s="103"/>
      <c r="AT1815" s="103"/>
      <c r="AU1815" s="103"/>
      <c r="AV1815" s="103"/>
      <c r="AW1815" s="104" t="str">
        <f>HYPERLINK("http://www.openstreetmap.org/?mlat=34.477&amp;mlon=43.7904&amp;zoom=12#map=12/34.477/43.7904","Maplink1")</f>
        <v>Maplink1</v>
      </c>
      <c r="AX1815" s="104" t="str">
        <f>HYPERLINK("https://www.google.iq/maps/search/+34.477,43.7904/@34.477,43.7904,14z?hl=en","Maplink2")</f>
        <v>Maplink2</v>
      </c>
      <c r="AY1815" s="104" t="str">
        <f>HYPERLINK("http://www.bing.com/maps/?lvl=14&amp;sty=h&amp;cp=34.477~43.7904&amp;sp=point.34.477_43.7904","Maplink3")</f>
        <v>Maplink3</v>
      </c>
    </row>
    <row r="1816" spans="1:51" x14ac:dyDescent="0.2">
      <c r="A1816" s="102">
        <v>20713</v>
      </c>
      <c r="B1816" s="103" t="s">
        <v>36</v>
      </c>
      <c r="C1816" s="103" t="s">
        <v>106</v>
      </c>
      <c r="D1816" s="103" t="s">
        <v>3485</v>
      </c>
      <c r="E1816" s="103" t="s">
        <v>266</v>
      </c>
      <c r="F1816" s="103">
        <v>34.473312999999997</v>
      </c>
      <c r="G1816" s="103">
        <v>43.791331378999999</v>
      </c>
      <c r="H1816" s="102">
        <v>748</v>
      </c>
      <c r="I1816" s="102">
        <v>4488</v>
      </c>
      <c r="J1816" s="103"/>
      <c r="K1816" s="103"/>
      <c r="L1816" s="103">
        <v>6</v>
      </c>
      <c r="M1816" s="103">
        <v>742</v>
      </c>
      <c r="N1816" s="103"/>
      <c r="O1816" s="103"/>
      <c r="P1816" s="103"/>
      <c r="Q1816" s="103"/>
      <c r="R1816" s="103"/>
      <c r="S1816" s="103"/>
      <c r="T1816" s="103"/>
      <c r="U1816" s="103"/>
      <c r="V1816" s="103"/>
      <c r="W1816" s="103">
        <v>12</v>
      </c>
      <c r="X1816" s="103"/>
      <c r="Y1816" s="103"/>
      <c r="Z1816" s="103"/>
      <c r="AA1816" s="103">
        <v>43</v>
      </c>
      <c r="AB1816" s="103"/>
      <c r="AC1816" s="103">
        <v>408</v>
      </c>
      <c r="AD1816" s="103"/>
      <c r="AE1816" s="103"/>
      <c r="AF1816" s="103"/>
      <c r="AG1816" s="103"/>
      <c r="AH1816" s="103"/>
      <c r="AI1816" s="103">
        <v>194</v>
      </c>
      <c r="AJ1816" s="103">
        <v>91</v>
      </c>
      <c r="AK1816" s="103"/>
      <c r="AL1816" s="103"/>
      <c r="AM1816" s="103"/>
      <c r="AN1816" s="103">
        <v>475</v>
      </c>
      <c r="AO1816" s="103">
        <v>177</v>
      </c>
      <c r="AP1816" s="103">
        <v>96</v>
      </c>
      <c r="AQ1816" s="103"/>
      <c r="AR1816" s="103"/>
      <c r="AS1816" s="103"/>
      <c r="AT1816" s="103"/>
      <c r="AU1816" s="103"/>
      <c r="AV1816" s="103"/>
      <c r="AW1816" s="104" t="str">
        <f>HYPERLINK("http://www.openstreetmap.org/?mlat=34.4733&amp;mlon=43.7913&amp;zoom=12#map=12/34.4733/43.7913","Maplink1")</f>
        <v>Maplink1</v>
      </c>
      <c r="AX1816" s="104" t="str">
        <f>HYPERLINK("https://www.google.iq/maps/search/+34.4733,43.7913/@34.4733,43.7913,14z?hl=en","Maplink2")</f>
        <v>Maplink2</v>
      </c>
      <c r="AY1816" s="104" t="str">
        <f>HYPERLINK("http://www.bing.com/maps/?lvl=14&amp;sty=h&amp;cp=34.4733~43.7913&amp;sp=point.34.4733_43.7913","Maplink3")</f>
        <v>Maplink3</v>
      </c>
    </row>
    <row r="1817" spans="1:51" x14ac:dyDescent="0.2">
      <c r="A1817" s="102">
        <v>26080</v>
      </c>
      <c r="B1817" s="103" t="s">
        <v>36</v>
      </c>
      <c r="C1817" s="103" t="s">
        <v>106</v>
      </c>
      <c r="D1817" s="103" t="s">
        <v>3486</v>
      </c>
      <c r="E1817" s="103" t="s">
        <v>3487</v>
      </c>
      <c r="F1817" s="103">
        <v>34.453507930000001</v>
      </c>
      <c r="G1817" s="103">
        <v>43.789091982000002</v>
      </c>
      <c r="H1817" s="102">
        <v>586</v>
      </c>
      <c r="I1817" s="102">
        <v>3516</v>
      </c>
      <c r="J1817" s="103">
        <v>2</v>
      </c>
      <c r="K1817" s="103"/>
      <c r="L1817" s="103">
        <v>5</v>
      </c>
      <c r="M1817" s="103">
        <v>578</v>
      </c>
      <c r="N1817" s="103">
        <v>1</v>
      </c>
      <c r="O1817" s="103"/>
      <c r="P1817" s="103"/>
      <c r="Q1817" s="103"/>
      <c r="R1817" s="103"/>
      <c r="S1817" s="103"/>
      <c r="T1817" s="103"/>
      <c r="U1817" s="103"/>
      <c r="V1817" s="103"/>
      <c r="W1817" s="103"/>
      <c r="X1817" s="103"/>
      <c r="Y1817" s="103"/>
      <c r="Z1817" s="103"/>
      <c r="AA1817" s="103">
        <v>88</v>
      </c>
      <c r="AB1817" s="103"/>
      <c r="AC1817" s="103">
        <v>216</v>
      </c>
      <c r="AD1817" s="103"/>
      <c r="AE1817" s="103"/>
      <c r="AF1817" s="103"/>
      <c r="AG1817" s="103"/>
      <c r="AH1817" s="103"/>
      <c r="AI1817" s="103">
        <v>225</v>
      </c>
      <c r="AJ1817" s="103">
        <v>57</v>
      </c>
      <c r="AK1817" s="103"/>
      <c r="AL1817" s="103"/>
      <c r="AM1817" s="103"/>
      <c r="AN1817" s="103">
        <v>496</v>
      </c>
      <c r="AO1817" s="103">
        <v>76</v>
      </c>
      <c r="AP1817" s="103">
        <v>14</v>
      </c>
      <c r="AQ1817" s="103"/>
      <c r="AR1817" s="103"/>
      <c r="AS1817" s="103"/>
      <c r="AT1817" s="103"/>
      <c r="AU1817" s="103"/>
      <c r="AV1817" s="103"/>
      <c r="AW1817" s="104" t="str">
        <f>HYPERLINK("http://www.openstreetmap.org/?mlat=34.4535&amp;mlon=43.7891&amp;zoom=12#map=12/34.4535/43.7891","Maplink1")</f>
        <v>Maplink1</v>
      </c>
      <c r="AX1817" s="104" t="str">
        <f>HYPERLINK("https://www.google.iq/maps/search/+34.4535,43.7891/@34.4535,43.7891,14z?hl=en","Maplink2")</f>
        <v>Maplink2</v>
      </c>
      <c r="AY1817" s="104" t="str">
        <f>HYPERLINK("http://www.bing.com/maps/?lvl=14&amp;sty=h&amp;cp=34.4535~43.7891&amp;sp=point.34.4535_43.7891","Maplink3")</f>
        <v>Maplink3</v>
      </c>
    </row>
    <row r="1818" spans="1:51" x14ac:dyDescent="0.2">
      <c r="A1818" s="102">
        <v>26079</v>
      </c>
      <c r="B1818" s="103" t="s">
        <v>36</v>
      </c>
      <c r="C1818" s="103" t="s">
        <v>106</v>
      </c>
      <c r="D1818" s="103" t="s">
        <v>3473</v>
      </c>
      <c r="E1818" s="103" t="s">
        <v>261</v>
      </c>
      <c r="F1818" s="103">
        <v>34.465267500000003</v>
      </c>
      <c r="G1818" s="103">
        <v>43.790657957000001</v>
      </c>
      <c r="H1818" s="102">
        <v>910</v>
      </c>
      <c r="I1818" s="102">
        <v>5460</v>
      </c>
      <c r="J1818" s="103"/>
      <c r="K1818" s="103"/>
      <c r="L1818" s="103"/>
      <c r="M1818" s="103">
        <v>910</v>
      </c>
      <c r="N1818" s="103"/>
      <c r="O1818" s="103"/>
      <c r="P1818" s="103"/>
      <c r="Q1818" s="103"/>
      <c r="R1818" s="103"/>
      <c r="S1818" s="103"/>
      <c r="T1818" s="103"/>
      <c r="U1818" s="103"/>
      <c r="V1818" s="103"/>
      <c r="W1818" s="103">
        <v>4</v>
      </c>
      <c r="X1818" s="103"/>
      <c r="Y1818" s="103"/>
      <c r="Z1818" s="103"/>
      <c r="AA1818" s="103">
        <v>119</v>
      </c>
      <c r="AB1818" s="103"/>
      <c r="AC1818" s="103">
        <v>529</v>
      </c>
      <c r="AD1818" s="103"/>
      <c r="AE1818" s="103"/>
      <c r="AF1818" s="103"/>
      <c r="AG1818" s="103"/>
      <c r="AH1818" s="103"/>
      <c r="AI1818" s="103">
        <v>185</v>
      </c>
      <c r="AJ1818" s="103">
        <v>73</v>
      </c>
      <c r="AK1818" s="103"/>
      <c r="AL1818" s="103"/>
      <c r="AM1818" s="103"/>
      <c r="AN1818" s="103">
        <v>857</v>
      </c>
      <c r="AO1818" s="103">
        <v>24</v>
      </c>
      <c r="AP1818" s="103">
        <v>29</v>
      </c>
      <c r="AQ1818" s="103"/>
      <c r="AR1818" s="103"/>
      <c r="AS1818" s="103"/>
      <c r="AT1818" s="103"/>
      <c r="AU1818" s="103"/>
      <c r="AV1818" s="103"/>
      <c r="AW1818" s="104" t="str">
        <f>HYPERLINK("http://www.openstreetmap.org/?mlat=34.4653&amp;mlon=43.7907&amp;zoom=12#map=12/34.4653/43.7907","Maplink1")</f>
        <v>Maplink1</v>
      </c>
      <c r="AX1818" s="104" t="str">
        <f>HYPERLINK("https://www.google.iq/maps/search/+34.4653,43.7907/@34.4653,43.7907,14z?hl=en","Maplink2")</f>
        <v>Maplink2</v>
      </c>
      <c r="AY1818" s="104" t="str">
        <f>HYPERLINK("http://www.bing.com/maps/?lvl=14&amp;sty=h&amp;cp=34.4653~43.7907&amp;sp=point.34.4653_43.7907","Maplink3")</f>
        <v>Maplink3</v>
      </c>
    </row>
    <row r="1819" spans="1:51" x14ac:dyDescent="0.2">
      <c r="A1819" s="102">
        <v>26082</v>
      </c>
      <c r="B1819" s="103" t="s">
        <v>36</v>
      </c>
      <c r="C1819" s="103" t="s">
        <v>106</v>
      </c>
      <c r="D1819" s="103" t="s">
        <v>3471</v>
      </c>
      <c r="E1819" s="103" t="s">
        <v>3472</v>
      </c>
      <c r="F1819" s="103">
        <v>34.456560320000001</v>
      </c>
      <c r="G1819" s="103">
        <v>43.805698894000002</v>
      </c>
      <c r="H1819" s="102">
        <v>350</v>
      </c>
      <c r="I1819" s="102">
        <v>2100</v>
      </c>
      <c r="J1819" s="103"/>
      <c r="K1819" s="103"/>
      <c r="L1819" s="103"/>
      <c r="M1819" s="103">
        <v>350</v>
      </c>
      <c r="N1819" s="103"/>
      <c r="O1819" s="103"/>
      <c r="P1819" s="103"/>
      <c r="Q1819" s="103"/>
      <c r="R1819" s="103"/>
      <c r="S1819" s="103"/>
      <c r="T1819" s="103"/>
      <c r="U1819" s="103"/>
      <c r="V1819" s="103"/>
      <c r="W1819" s="103">
        <v>5</v>
      </c>
      <c r="X1819" s="103"/>
      <c r="Y1819" s="103"/>
      <c r="Z1819" s="103"/>
      <c r="AA1819" s="103">
        <v>50</v>
      </c>
      <c r="AB1819" s="103"/>
      <c r="AC1819" s="103">
        <v>67</v>
      </c>
      <c r="AD1819" s="103"/>
      <c r="AE1819" s="103"/>
      <c r="AF1819" s="103"/>
      <c r="AG1819" s="103"/>
      <c r="AH1819" s="103"/>
      <c r="AI1819" s="103">
        <v>213</v>
      </c>
      <c r="AJ1819" s="103">
        <v>15</v>
      </c>
      <c r="AK1819" s="103"/>
      <c r="AL1819" s="103"/>
      <c r="AM1819" s="103"/>
      <c r="AN1819" s="103">
        <v>305</v>
      </c>
      <c r="AO1819" s="103">
        <v>45</v>
      </c>
      <c r="AP1819" s="103"/>
      <c r="AQ1819" s="103"/>
      <c r="AR1819" s="103"/>
      <c r="AS1819" s="103"/>
      <c r="AT1819" s="103"/>
      <c r="AU1819" s="103"/>
      <c r="AV1819" s="103"/>
      <c r="AW1819" s="104" t="str">
        <f>HYPERLINK("http://www.openstreetmap.org/?mlat=34.4566&amp;mlon=43.8057&amp;zoom=12#map=12/34.4566/43.8057","Maplink1")</f>
        <v>Maplink1</v>
      </c>
      <c r="AX1819" s="104" t="str">
        <f>HYPERLINK("https://www.google.iq/maps/search/+34.4566,43.8057/@34.4566,43.8057,14z?hl=en","Maplink2")</f>
        <v>Maplink2</v>
      </c>
      <c r="AY1819" s="104" t="str">
        <f>HYPERLINK("http://www.bing.com/maps/?lvl=14&amp;sty=h&amp;cp=34.4566~43.8057&amp;sp=point.34.4566_43.8057","Maplink3")</f>
        <v>Maplink3</v>
      </c>
    </row>
    <row r="1820" spans="1:51" x14ac:dyDescent="0.2">
      <c r="A1820" s="102">
        <v>26081</v>
      </c>
      <c r="B1820" s="103" t="s">
        <v>36</v>
      </c>
      <c r="C1820" s="103" t="s">
        <v>106</v>
      </c>
      <c r="D1820" s="103" t="s">
        <v>3478</v>
      </c>
      <c r="E1820" s="103" t="s">
        <v>738</v>
      </c>
      <c r="F1820" s="103">
        <v>34.460893390000003</v>
      </c>
      <c r="G1820" s="103">
        <v>43.841989214999998</v>
      </c>
      <c r="H1820" s="102">
        <v>253</v>
      </c>
      <c r="I1820" s="102">
        <v>1518</v>
      </c>
      <c r="J1820" s="103"/>
      <c r="K1820" s="103"/>
      <c r="L1820" s="103"/>
      <c r="M1820" s="103">
        <v>253</v>
      </c>
      <c r="N1820" s="103"/>
      <c r="O1820" s="103"/>
      <c r="P1820" s="103"/>
      <c r="Q1820" s="103"/>
      <c r="R1820" s="103"/>
      <c r="S1820" s="103"/>
      <c r="T1820" s="103"/>
      <c r="U1820" s="103"/>
      <c r="V1820" s="103"/>
      <c r="W1820" s="103"/>
      <c r="X1820" s="103"/>
      <c r="Y1820" s="103"/>
      <c r="Z1820" s="103"/>
      <c r="AA1820" s="103">
        <v>67</v>
      </c>
      <c r="AB1820" s="103"/>
      <c r="AC1820" s="103">
        <v>93</v>
      </c>
      <c r="AD1820" s="103"/>
      <c r="AE1820" s="103"/>
      <c r="AF1820" s="103"/>
      <c r="AG1820" s="103"/>
      <c r="AH1820" s="103"/>
      <c r="AI1820" s="103">
        <v>66</v>
      </c>
      <c r="AJ1820" s="103">
        <v>27</v>
      </c>
      <c r="AK1820" s="103"/>
      <c r="AL1820" s="103"/>
      <c r="AM1820" s="103">
        <v>39</v>
      </c>
      <c r="AN1820" s="103">
        <v>98</v>
      </c>
      <c r="AO1820" s="103">
        <v>69</v>
      </c>
      <c r="AP1820" s="103">
        <v>47</v>
      </c>
      <c r="AQ1820" s="103"/>
      <c r="AR1820" s="103"/>
      <c r="AS1820" s="103"/>
      <c r="AT1820" s="103"/>
      <c r="AU1820" s="103"/>
      <c r="AV1820" s="103"/>
      <c r="AW1820" s="104" t="str">
        <f>HYPERLINK("http://www.openstreetmap.org/?mlat=34.4609&amp;mlon=43.842&amp;zoom=12#map=12/34.4609/43.842","Maplink1")</f>
        <v>Maplink1</v>
      </c>
      <c r="AX1820" s="104" t="str">
        <f>HYPERLINK("https://www.google.iq/maps/search/+34.4609,43.842/@34.4609,43.842,14z?hl=en","Maplink2")</f>
        <v>Maplink2</v>
      </c>
      <c r="AY1820" s="104" t="str">
        <f>HYPERLINK("http://www.bing.com/maps/?lvl=14&amp;sty=h&amp;cp=34.4609~43.842&amp;sp=point.34.4609_43.842","Maplink3")</f>
        <v>Maplink3</v>
      </c>
    </row>
    <row r="1821" spans="1:51" x14ac:dyDescent="0.2">
      <c r="A1821" s="102">
        <v>28420</v>
      </c>
      <c r="B1821" s="103" t="s">
        <v>36</v>
      </c>
      <c r="C1821" s="103" t="s">
        <v>107</v>
      </c>
      <c r="D1821" s="103" t="s">
        <v>3492</v>
      </c>
      <c r="E1821" s="103" t="s">
        <v>3493</v>
      </c>
      <c r="F1821" s="103">
        <v>33.868748252000003</v>
      </c>
      <c r="G1821" s="103">
        <v>44.355066999999998</v>
      </c>
      <c r="H1821" s="102">
        <v>526</v>
      </c>
      <c r="I1821" s="102">
        <v>3156</v>
      </c>
      <c r="J1821" s="103"/>
      <c r="K1821" s="103"/>
      <c r="L1821" s="103"/>
      <c r="M1821" s="103">
        <v>526</v>
      </c>
      <c r="N1821" s="103"/>
      <c r="O1821" s="103"/>
      <c r="P1821" s="103"/>
      <c r="Q1821" s="103"/>
      <c r="R1821" s="103"/>
      <c r="S1821" s="103"/>
      <c r="T1821" s="103"/>
      <c r="U1821" s="103"/>
      <c r="V1821" s="103"/>
      <c r="W1821" s="103">
        <v>62</v>
      </c>
      <c r="X1821" s="103"/>
      <c r="Y1821" s="103"/>
      <c r="Z1821" s="103"/>
      <c r="AA1821" s="103">
        <v>14</v>
      </c>
      <c r="AB1821" s="103"/>
      <c r="AC1821" s="103"/>
      <c r="AD1821" s="103"/>
      <c r="AE1821" s="103"/>
      <c r="AF1821" s="103"/>
      <c r="AG1821" s="103"/>
      <c r="AH1821" s="103"/>
      <c r="AI1821" s="103">
        <v>450</v>
      </c>
      <c r="AJ1821" s="103"/>
      <c r="AK1821" s="103"/>
      <c r="AL1821" s="103"/>
      <c r="AM1821" s="103">
        <v>14</v>
      </c>
      <c r="AN1821" s="103">
        <v>512</v>
      </c>
      <c r="AO1821" s="103"/>
      <c r="AP1821" s="103"/>
      <c r="AQ1821" s="103"/>
      <c r="AR1821" s="103"/>
      <c r="AS1821" s="103"/>
      <c r="AT1821" s="103"/>
      <c r="AU1821" s="103"/>
      <c r="AV1821" s="103"/>
      <c r="AW1821" s="104" t="str">
        <f>HYPERLINK("http://www.openstreetmap.org/?mlat=33.8687&amp;mlon=44.3551&amp;zoom=12#map=12/33.8687/44.3551","Maplink1")</f>
        <v>Maplink1</v>
      </c>
      <c r="AX1821" s="104" t="str">
        <f>HYPERLINK("https://www.google.iq/maps/search/+33.8687,44.3551/@33.8687,44.3551,14z?hl=en","Maplink2")</f>
        <v>Maplink2</v>
      </c>
      <c r="AY1821" s="104" t="str">
        <f>HYPERLINK("http://www.bing.com/maps/?lvl=14&amp;sty=h&amp;cp=33.8687~44.3551&amp;sp=point.33.8687_44.3551","Maplink3")</f>
        <v>Maplink3</v>
      </c>
    </row>
    <row r="1822" spans="1:51" x14ac:dyDescent="0.2">
      <c r="A1822" s="102">
        <v>33789</v>
      </c>
      <c r="B1822" s="103" t="s">
        <v>36</v>
      </c>
      <c r="C1822" s="103" t="s">
        <v>107</v>
      </c>
      <c r="D1822" s="103" t="s">
        <v>3494</v>
      </c>
      <c r="E1822" s="103" t="s">
        <v>3495</v>
      </c>
      <c r="F1822" s="103">
        <v>33.949927000000002</v>
      </c>
      <c r="G1822" s="103">
        <v>44.300030999999997</v>
      </c>
      <c r="H1822" s="102">
        <v>398</v>
      </c>
      <c r="I1822" s="102">
        <v>2388</v>
      </c>
      <c r="J1822" s="103"/>
      <c r="K1822" s="103"/>
      <c r="L1822" s="103"/>
      <c r="M1822" s="103">
        <v>304</v>
      </c>
      <c r="N1822" s="103">
        <v>94</v>
      </c>
      <c r="O1822" s="103"/>
      <c r="P1822" s="103"/>
      <c r="Q1822" s="103"/>
      <c r="R1822" s="103"/>
      <c r="S1822" s="103"/>
      <c r="T1822" s="103"/>
      <c r="U1822" s="103"/>
      <c r="V1822" s="103"/>
      <c r="W1822" s="103">
        <v>125</v>
      </c>
      <c r="X1822" s="103"/>
      <c r="Y1822" s="103"/>
      <c r="Z1822" s="103"/>
      <c r="AA1822" s="103"/>
      <c r="AB1822" s="103"/>
      <c r="AC1822" s="103"/>
      <c r="AD1822" s="103"/>
      <c r="AE1822" s="103"/>
      <c r="AF1822" s="103"/>
      <c r="AG1822" s="103"/>
      <c r="AH1822" s="103"/>
      <c r="AI1822" s="103">
        <v>273</v>
      </c>
      <c r="AJ1822" s="103"/>
      <c r="AK1822" s="103"/>
      <c r="AL1822" s="103"/>
      <c r="AM1822" s="103">
        <v>139</v>
      </c>
      <c r="AN1822" s="103">
        <v>189</v>
      </c>
      <c r="AO1822" s="103">
        <v>70</v>
      </c>
      <c r="AP1822" s="103"/>
      <c r="AQ1822" s="103"/>
      <c r="AR1822" s="103"/>
      <c r="AS1822" s="103"/>
      <c r="AT1822" s="103"/>
      <c r="AU1822" s="103"/>
      <c r="AV1822" s="103"/>
      <c r="AW1822" s="104" t="str">
        <f>HYPERLINK("http://www.openstreetmap.org/?mlat=33.9499&amp;mlon=44.3&amp;zoom=12#map=12/33.9499/44.3","Maplink1")</f>
        <v>Maplink1</v>
      </c>
      <c r="AX1822" s="104" t="str">
        <f>HYPERLINK("https://www.google.iq/maps/search/+33.9499,44.3/@33.9499,44.3,14z?hl=en","Maplink2")</f>
        <v>Maplink2</v>
      </c>
      <c r="AY1822" s="104" t="str">
        <f>HYPERLINK("http://www.bing.com/maps/?lvl=14&amp;sty=h&amp;cp=33.9499~44.3&amp;sp=point.33.9499_44.3","Maplink3")</f>
        <v>Maplink3</v>
      </c>
    </row>
    <row r="1823" spans="1:51" x14ac:dyDescent="0.2">
      <c r="A1823" s="102">
        <v>25947</v>
      </c>
      <c r="B1823" s="103" t="s">
        <v>36</v>
      </c>
      <c r="C1823" s="103" t="s">
        <v>107</v>
      </c>
      <c r="D1823" s="103" t="s">
        <v>3490</v>
      </c>
      <c r="E1823" s="103" t="s">
        <v>3491</v>
      </c>
      <c r="F1823" s="103">
        <v>33.909243490000001</v>
      </c>
      <c r="G1823" s="103">
        <v>44.183529999999998</v>
      </c>
      <c r="H1823" s="102">
        <v>543</v>
      </c>
      <c r="I1823" s="102">
        <v>3258</v>
      </c>
      <c r="J1823" s="103"/>
      <c r="K1823" s="103"/>
      <c r="L1823" s="103"/>
      <c r="M1823" s="103">
        <v>543</v>
      </c>
      <c r="N1823" s="103"/>
      <c r="O1823" s="103"/>
      <c r="P1823" s="103"/>
      <c r="Q1823" s="103"/>
      <c r="R1823" s="103"/>
      <c r="S1823" s="103"/>
      <c r="T1823" s="103"/>
      <c r="U1823" s="103"/>
      <c r="V1823" s="103"/>
      <c r="W1823" s="103">
        <v>130</v>
      </c>
      <c r="X1823" s="103"/>
      <c r="Y1823" s="103"/>
      <c r="Z1823" s="103"/>
      <c r="AA1823" s="103"/>
      <c r="AB1823" s="103"/>
      <c r="AC1823" s="103"/>
      <c r="AD1823" s="103"/>
      <c r="AE1823" s="103"/>
      <c r="AF1823" s="103"/>
      <c r="AG1823" s="103"/>
      <c r="AH1823" s="103"/>
      <c r="AI1823" s="103">
        <v>413</v>
      </c>
      <c r="AJ1823" s="103"/>
      <c r="AK1823" s="103"/>
      <c r="AL1823" s="103"/>
      <c r="AM1823" s="103"/>
      <c r="AN1823" s="103">
        <v>45</v>
      </c>
      <c r="AO1823" s="103">
        <v>443</v>
      </c>
      <c r="AP1823" s="103">
        <v>55</v>
      </c>
      <c r="AQ1823" s="103"/>
      <c r="AR1823" s="103"/>
      <c r="AS1823" s="103"/>
      <c r="AT1823" s="103"/>
      <c r="AU1823" s="103"/>
      <c r="AV1823" s="103"/>
      <c r="AW1823" s="104" t="str">
        <f>HYPERLINK("http://www.openstreetmap.org/?mlat=33.9092&amp;mlon=44.1835&amp;zoom=12#map=12/33.9092/44.1835","Maplink1")</f>
        <v>Maplink1</v>
      </c>
      <c r="AX1823" s="104" t="str">
        <f>HYPERLINK("https://www.google.iq/maps/search/+33.9092,44.1835/@33.9092,44.1835,14z?hl=en","Maplink2")</f>
        <v>Maplink2</v>
      </c>
      <c r="AY1823" s="104" t="str">
        <f>HYPERLINK("http://www.bing.com/maps/?lvl=14&amp;sty=h&amp;cp=33.9092~44.1835&amp;sp=point.33.9092_44.1835","Maplink3")</f>
        <v>Maplink3</v>
      </c>
    </row>
    <row r="1824" spans="1:51" x14ac:dyDescent="0.2">
      <c r="A1824" s="102">
        <v>33790</v>
      </c>
      <c r="B1824" s="103" t="s">
        <v>36</v>
      </c>
      <c r="C1824" s="103" t="s">
        <v>107</v>
      </c>
      <c r="D1824" s="103" t="s">
        <v>3488</v>
      </c>
      <c r="E1824" s="103" t="s">
        <v>3489</v>
      </c>
      <c r="F1824" s="103">
        <v>33.966392999999997</v>
      </c>
      <c r="G1824" s="103">
        <v>44.30386</v>
      </c>
      <c r="H1824" s="102">
        <v>399</v>
      </c>
      <c r="I1824" s="102">
        <v>2394</v>
      </c>
      <c r="J1824" s="103"/>
      <c r="K1824" s="103"/>
      <c r="L1824" s="103"/>
      <c r="M1824" s="103">
        <v>255</v>
      </c>
      <c r="N1824" s="103">
        <v>144</v>
      </c>
      <c r="O1824" s="103"/>
      <c r="P1824" s="103"/>
      <c r="Q1824" s="103"/>
      <c r="R1824" s="103"/>
      <c r="S1824" s="103"/>
      <c r="T1824" s="103"/>
      <c r="U1824" s="103"/>
      <c r="V1824" s="103"/>
      <c r="W1824" s="103">
        <v>95</v>
      </c>
      <c r="X1824" s="103"/>
      <c r="Y1824" s="103"/>
      <c r="Z1824" s="103"/>
      <c r="AA1824" s="103">
        <v>65</v>
      </c>
      <c r="AB1824" s="103"/>
      <c r="AC1824" s="103"/>
      <c r="AD1824" s="103"/>
      <c r="AE1824" s="103"/>
      <c r="AF1824" s="103"/>
      <c r="AG1824" s="103"/>
      <c r="AH1824" s="103"/>
      <c r="AI1824" s="103">
        <v>239</v>
      </c>
      <c r="AJ1824" s="103"/>
      <c r="AK1824" s="103"/>
      <c r="AL1824" s="103"/>
      <c r="AM1824" s="103">
        <v>160</v>
      </c>
      <c r="AN1824" s="103">
        <v>194</v>
      </c>
      <c r="AO1824" s="103">
        <v>45</v>
      </c>
      <c r="AP1824" s="103"/>
      <c r="AQ1824" s="103"/>
      <c r="AR1824" s="103"/>
      <c r="AS1824" s="103"/>
      <c r="AT1824" s="103"/>
      <c r="AU1824" s="103"/>
      <c r="AV1824" s="103"/>
      <c r="AW1824" s="104" t="str">
        <f>HYPERLINK("http://www.openstreetmap.org/?mlat=33.9664&amp;mlon=44.3039&amp;zoom=12#map=12/33.9664/44.3039","Maplink1")</f>
        <v>Maplink1</v>
      </c>
      <c r="AX1824" s="104" t="str">
        <f>HYPERLINK("https://www.google.iq/maps/search/+33.9664,44.3039/@33.9664,44.3039,14z?hl=en","Maplink2")</f>
        <v>Maplink2</v>
      </c>
      <c r="AY1824" s="104" t="str">
        <f>HYPERLINK("http://www.bing.com/maps/?lvl=14&amp;sty=h&amp;cp=33.9664~44.3039&amp;sp=point.33.9664_44.3039","Maplink3")</f>
        <v>Maplink3</v>
      </c>
    </row>
    <row r="1825" spans="1:51" x14ac:dyDescent="0.2">
      <c r="A1825" s="102">
        <v>22306</v>
      </c>
      <c r="B1825" s="103" t="s">
        <v>36</v>
      </c>
      <c r="C1825" s="103" t="s">
        <v>108</v>
      </c>
      <c r="D1825" s="103" t="s">
        <v>3513</v>
      </c>
      <c r="E1825" s="103" t="s">
        <v>3514</v>
      </c>
      <c r="F1825" s="103">
        <v>35.321639617899997</v>
      </c>
      <c r="G1825" s="103">
        <v>43.179855644699998</v>
      </c>
      <c r="H1825" s="102">
        <v>282</v>
      </c>
      <c r="I1825" s="102">
        <v>1692</v>
      </c>
      <c r="J1825" s="103">
        <v>3</v>
      </c>
      <c r="K1825" s="103"/>
      <c r="L1825" s="103"/>
      <c r="M1825" s="103">
        <v>270</v>
      </c>
      <c r="N1825" s="103">
        <v>9</v>
      </c>
      <c r="O1825" s="103"/>
      <c r="P1825" s="103"/>
      <c r="Q1825" s="103"/>
      <c r="R1825" s="103"/>
      <c r="S1825" s="103"/>
      <c r="T1825" s="103"/>
      <c r="U1825" s="103"/>
      <c r="V1825" s="103"/>
      <c r="W1825" s="103"/>
      <c r="X1825" s="103"/>
      <c r="Y1825" s="103"/>
      <c r="Z1825" s="103"/>
      <c r="AA1825" s="103">
        <v>8</v>
      </c>
      <c r="AB1825" s="103"/>
      <c r="AC1825" s="103"/>
      <c r="AD1825" s="103"/>
      <c r="AE1825" s="103"/>
      <c r="AF1825" s="103"/>
      <c r="AG1825" s="103">
        <v>11</v>
      </c>
      <c r="AH1825" s="103"/>
      <c r="AI1825" s="103">
        <v>263</v>
      </c>
      <c r="AJ1825" s="103"/>
      <c r="AK1825" s="103"/>
      <c r="AL1825" s="103"/>
      <c r="AM1825" s="103"/>
      <c r="AN1825" s="103">
        <v>44</v>
      </c>
      <c r="AO1825" s="103">
        <v>45</v>
      </c>
      <c r="AP1825" s="103">
        <v>32</v>
      </c>
      <c r="AQ1825" s="103">
        <v>33</v>
      </c>
      <c r="AR1825" s="103">
        <v>41</v>
      </c>
      <c r="AS1825" s="103">
        <v>87</v>
      </c>
      <c r="AT1825" s="103"/>
      <c r="AU1825" s="103"/>
      <c r="AV1825" s="103"/>
      <c r="AW1825" s="104" t="str">
        <f>HYPERLINK("http://www.openstreetmap.org/?mlat=35.3216&amp;mlon=43.1799&amp;zoom=12#map=12/35.3216/43.1799","Maplink1")</f>
        <v>Maplink1</v>
      </c>
      <c r="AX1825" s="104" t="str">
        <f>HYPERLINK("https://www.google.iq/maps/search/+35.3216,43.1799/@35.3216,43.1799,14z?hl=en","Maplink2")</f>
        <v>Maplink2</v>
      </c>
      <c r="AY1825" s="104" t="str">
        <f>HYPERLINK("http://www.bing.com/maps/?lvl=14&amp;sty=h&amp;cp=35.3216~43.1799&amp;sp=point.35.3216_43.1799","Maplink3")</f>
        <v>Maplink3</v>
      </c>
    </row>
    <row r="1826" spans="1:51" x14ac:dyDescent="0.2">
      <c r="A1826" s="102">
        <v>20532</v>
      </c>
      <c r="B1826" s="103" t="s">
        <v>36</v>
      </c>
      <c r="C1826" s="103" t="s">
        <v>108</v>
      </c>
      <c r="D1826" s="103" t="s">
        <v>3515</v>
      </c>
      <c r="E1826" s="103" t="s">
        <v>3516</v>
      </c>
      <c r="F1826" s="103">
        <v>35.4220239725</v>
      </c>
      <c r="G1826" s="103">
        <v>43.118024021399997</v>
      </c>
      <c r="H1826" s="102">
        <v>555</v>
      </c>
      <c r="I1826" s="102">
        <v>3330</v>
      </c>
      <c r="J1826" s="103">
        <v>12</v>
      </c>
      <c r="K1826" s="103"/>
      <c r="L1826" s="103"/>
      <c r="M1826" s="103">
        <v>524</v>
      </c>
      <c r="N1826" s="103">
        <v>19</v>
      </c>
      <c r="O1826" s="103"/>
      <c r="P1826" s="103"/>
      <c r="Q1826" s="103"/>
      <c r="R1826" s="103"/>
      <c r="S1826" s="103"/>
      <c r="T1826" s="103"/>
      <c r="U1826" s="103"/>
      <c r="V1826" s="103"/>
      <c r="W1826" s="103"/>
      <c r="X1826" s="103"/>
      <c r="Y1826" s="103"/>
      <c r="Z1826" s="103"/>
      <c r="AA1826" s="103">
        <v>56</v>
      </c>
      <c r="AB1826" s="103"/>
      <c r="AC1826" s="103">
        <v>46</v>
      </c>
      <c r="AD1826" s="103"/>
      <c r="AE1826" s="103"/>
      <c r="AF1826" s="103"/>
      <c r="AG1826" s="103">
        <v>21</v>
      </c>
      <c r="AH1826" s="103"/>
      <c r="AI1826" s="103">
        <v>432</v>
      </c>
      <c r="AJ1826" s="103"/>
      <c r="AK1826" s="103"/>
      <c r="AL1826" s="103"/>
      <c r="AM1826" s="103"/>
      <c r="AN1826" s="103">
        <v>77</v>
      </c>
      <c r="AO1826" s="103">
        <v>82</v>
      </c>
      <c r="AP1826" s="103">
        <v>99</v>
      </c>
      <c r="AQ1826" s="103">
        <v>151</v>
      </c>
      <c r="AR1826" s="103">
        <v>146</v>
      </c>
      <c r="AS1826" s="103"/>
      <c r="AT1826" s="103"/>
      <c r="AU1826" s="103"/>
      <c r="AV1826" s="103"/>
      <c r="AW1826" s="104" t="str">
        <f>HYPERLINK("http://www.openstreetmap.org/?mlat=35.422&amp;mlon=43.118&amp;zoom=12#map=12/35.422/43.118","Maplink1")</f>
        <v>Maplink1</v>
      </c>
      <c r="AX1826" s="104" t="str">
        <f>HYPERLINK("https://www.google.iq/maps/search/+35.422,43.118/@35.422,43.118,14z?hl=en","Maplink2")</f>
        <v>Maplink2</v>
      </c>
      <c r="AY1826" s="104" t="str">
        <f>HYPERLINK("http://www.bing.com/maps/?lvl=14&amp;sty=h&amp;cp=35.422~43.118&amp;sp=point.35.422_43.118","Maplink3")</f>
        <v>Maplink3</v>
      </c>
    </row>
    <row r="1827" spans="1:51" x14ac:dyDescent="0.2">
      <c r="A1827" s="102">
        <v>33124</v>
      </c>
      <c r="B1827" s="103" t="s">
        <v>36</v>
      </c>
      <c r="C1827" s="103" t="s">
        <v>108</v>
      </c>
      <c r="D1827" s="103" t="s">
        <v>3517</v>
      </c>
      <c r="E1827" s="103" t="s">
        <v>3518</v>
      </c>
      <c r="F1827" s="103">
        <v>35.330249999999999</v>
      </c>
      <c r="G1827" s="103">
        <v>43.266149181899998</v>
      </c>
      <c r="H1827" s="102">
        <v>1045</v>
      </c>
      <c r="I1827" s="102">
        <v>6270</v>
      </c>
      <c r="J1827" s="103">
        <v>23</v>
      </c>
      <c r="K1827" s="103"/>
      <c r="L1827" s="103">
        <v>5</v>
      </c>
      <c r="M1827" s="103">
        <v>976</v>
      </c>
      <c r="N1827" s="103">
        <v>37</v>
      </c>
      <c r="O1827" s="103"/>
      <c r="P1827" s="103">
        <v>4</v>
      </c>
      <c r="Q1827" s="103"/>
      <c r="R1827" s="103"/>
      <c r="S1827" s="103"/>
      <c r="T1827" s="103"/>
      <c r="U1827" s="103"/>
      <c r="V1827" s="103"/>
      <c r="W1827" s="103"/>
      <c r="X1827" s="103"/>
      <c r="Y1827" s="103"/>
      <c r="Z1827" s="103"/>
      <c r="AA1827" s="103">
        <v>136</v>
      </c>
      <c r="AB1827" s="103"/>
      <c r="AC1827" s="103">
        <v>89</v>
      </c>
      <c r="AD1827" s="103"/>
      <c r="AE1827" s="103"/>
      <c r="AF1827" s="103"/>
      <c r="AG1827" s="103">
        <v>88</v>
      </c>
      <c r="AH1827" s="103"/>
      <c r="AI1827" s="103">
        <v>732</v>
      </c>
      <c r="AJ1827" s="103"/>
      <c r="AK1827" s="103"/>
      <c r="AL1827" s="103"/>
      <c r="AM1827" s="103"/>
      <c r="AN1827" s="103">
        <v>305</v>
      </c>
      <c r="AO1827" s="103">
        <v>173</v>
      </c>
      <c r="AP1827" s="103">
        <v>119</v>
      </c>
      <c r="AQ1827" s="103">
        <v>112</v>
      </c>
      <c r="AR1827" s="103">
        <v>164</v>
      </c>
      <c r="AS1827" s="103">
        <v>172</v>
      </c>
      <c r="AT1827" s="103"/>
      <c r="AU1827" s="103"/>
      <c r="AV1827" s="103"/>
      <c r="AW1827" s="104" t="str">
        <f>HYPERLINK("http://www.openstreetmap.org/?mlat=35.3302&amp;mlon=43.2661&amp;zoom=12#map=12/35.3302/43.2661","Maplink1")</f>
        <v>Maplink1</v>
      </c>
      <c r="AX1827" s="104" t="str">
        <f>HYPERLINK("https://www.google.iq/maps/search/+35.3302,43.2661/@35.3302,43.2661,14z?hl=en","Maplink2")</f>
        <v>Maplink2</v>
      </c>
      <c r="AY1827" s="104" t="str">
        <f>HYPERLINK("http://www.bing.com/maps/?lvl=14&amp;sty=h&amp;cp=35.3302~43.2661&amp;sp=point.35.3302_43.2661","Maplink3")</f>
        <v>Maplink3</v>
      </c>
    </row>
    <row r="1828" spans="1:51" x14ac:dyDescent="0.2">
      <c r="A1828" s="102">
        <v>33609</v>
      </c>
      <c r="B1828" s="103" t="s">
        <v>36</v>
      </c>
      <c r="C1828" s="103" t="s">
        <v>108</v>
      </c>
      <c r="D1828" s="103" t="s">
        <v>3519</v>
      </c>
      <c r="E1828" s="103" t="s">
        <v>3520</v>
      </c>
      <c r="F1828" s="103">
        <v>35.589092999999998</v>
      </c>
      <c r="G1828" s="103">
        <v>43.279526364100001</v>
      </c>
      <c r="H1828" s="102">
        <v>696</v>
      </c>
      <c r="I1828" s="102">
        <v>4176</v>
      </c>
      <c r="J1828" s="103">
        <v>21</v>
      </c>
      <c r="K1828" s="103"/>
      <c r="L1828" s="103"/>
      <c r="M1828" s="103">
        <v>637</v>
      </c>
      <c r="N1828" s="103">
        <v>38</v>
      </c>
      <c r="O1828" s="103"/>
      <c r="P1828" s="103"/>
      <c r="Q1828" s="103"/>
      <c r="R1828" s="103"/>
      <c r="S1828" s="103"/>
      <c r="T1828" s="103"/>
      <c r="U1828" s="103"/>
      <c r="V1828" s="103"/>
      <c r="W1828" s="103">
        <v>13</v>
      </c>
      <c r="X1828" s="103">
        <v>7</v>
      </c>
      <c r="Y1828" s="103"/>
      <c r="Z1828" s="103"/>
      <c r="AA1828" s="103">
        <v>129</v>
      </c>
      <c r="AB1828" s="103"/>
      <c r="AC1828" s="103">
        <v>91</v>
      </c>
      <c r="AD1828" s="103"/>
      <c r="AE1828" s="103"/>
      <c r="AF1828" s="103"/>
      <c r="AG1828" s="103">
        <v>389</v>
      </c>
      <c r="AH1828" s="103"/>
      <c r="AI1828" s="103">
        <v>53</v>
      </c>
      <c r="AJ1828" s="103">
        <v>14</v>
      </c>
      <c r="AK1828" s="103"/>
      <c r="AL1828" s="103"/>
      <c r="AM1828" s="103"/>
      <c r="AN1828" s="103">
        <v>108</v>
      </c>
      <c r="AO1828" s="103">
        <v>98</v>
      </c>
      <c r="AP1828" s="103">
        <v>97</v>
      </c>
      <c r="AQ1828" s="103">
        <v>103</v>
      </c>
      <c r="AR1828" s="103">
        <v>138</v>
      </c>
      <c r="AS1828" s="103">
        <v>152</v>
      </c>
      <c r="AT1828" s="103"/>
      <c r="AU1828" s="103"/>
      <c r="AV1828" s="103"/>
      <c r="AW1828" s="104" t="str">
        <f>HYPERLINK("http://www.openstreetmap.org/?mlat=35.5891&amp;mlon=43.2795&amp;zoom=12#map=12/35.5891/43.2795","Maplink1")</f>
        <v>Maplink1</v>
      </c>
      <c r="AX1828" s="104" t="str">
        <f>HYPERLINK("https://www.google.iq/maps/search/+35.5891,43.2795/@35.5891,43.2795,14z?hl=en","Maplink2")</f>
        <v>Maplink2</v>
      </c>
      <c r="AY1828" s="104" t="str">
        <f>HYPERLINK("http://www.bing.com/maps/?lvl=14&amp;sty=h&amp;cp=35.5891~43.2795&amp;sp=point.35.5891_43.2795","Maplink3")</f>
        <v>Maplink3</v>
      </c>
    </row>
    <row r="1829" spans="1:51" x14ac:dyDescent="0.2">
      <c r="A1829" s="102">
        <v>22513</v>
      </c>
      <c r="B1829" s="103" t="s">
        <v>36</v>
      </c>
      <c r="C1829" s="103" t="s">
        <v>108</v>
      </c>
      <c r="D1829" s="103" t="s">
        <v>3496</v>
      </c>
      <c r="E1829" s="103" t="s">
        <v>3497</v>
      </c>
      <c r="F1829" s="103">
        <v>35.324535900699999</v>
      </c>
      <c r="G1829" s="103">
        <v>43.1756394636</v>
      </c>
      <c r="H1829" s="102">
        <v>306</v>
      </c>
      <c r="I1829" s="102">
        <v>1836</v>
      </c>
      <c r="J1829" s="103">
        <v>6</v>
      </c>
      <c r="K1829" s="103"/>
      <c r="L1829" s="103"/>
      <c r="M1829" s="103">
        <v>287</v>
      </c>
      <c r="N1829" s="103">
        <v>13</v>
      </c>
      <c r="O1829" s="103"/>
      <c r="P1829" s="103"/>
      <c r="Q1829" s="103"/>
      <c r="R1829" s="103"/>
      <c r="S1829" s="103"/>
      <c r="T1829" s="103"/>
      <c r="U1829" s="103"/>
      <c r="V1829" s="103"/>
      <c r="W1829" s="103"/>
      <c r="X1829" s="103"/>
      <c r="Y1829" s="103"/>
      <c r="Z1829" s="103"/>
      <c r="AA1829" s="103">
        <v>8</v>
      </c>
      <c r="AB1829" s="103"/>
      <c r="AC1829" s="103"/>
      <c r="AD1829" s="103"/>
      <c r="AE1829" s="103"/>
      <c r="AF1829" s="103"/>
      <c r="AG1829" s="103">
        <v>16</v>
      </c>
      <c r="AH1829" s="103"/>
      <c r="AI1829" s="103">
        <v>282</v>
      </c>
      <c r="AJ1829" s="103"/>
      <c r="AK1829" s="103"/>
      <c r="AL1829" s="103"/>
      <c r="AM1829" s="103"/>
      <c r="AN1829" s="103">
        <v>42</v>
      </c>
      <c r="AO1829" s="103">
        <v>49</v>
      </c>
      <c r="AP1829" s="103">
        <v>52</v>
      </c>
      <c r="AQ1829" s="103">
        <v>59</v>
      </c>
      <c r="AR1829" s="103">
        <v>104</v>
      </c>
      <c r="AS1829" s="103"/>
      <c r="AT1829" s="103"/>
      <c r="AU1829" s="103"/>
      <c r="AV1829" s="103"/>
      <c r="AW1829" s="104" t="str">
        <f>HYPERLINK("http://www.openstreetmap.org/?mlat=35.3245&amp;mlon=43.1756&amp;zoom=12#map=12/35.3245/43.1756","Maplink1")</f>
        <v>Maplink1</v>
      </c>
      <c r="AX1829" s="104" t="str">
        <f>HYPERLINK("https://www.google.iq/maps/search/+35.3245,43.1756/@35.3245,43.1756,14z?hl=en","Maplink2")</f>
        <v>Maplink2</v>
      </c>
      <c r="AY1829" s="104" t="str">
        <f>HYPERLINK("http://www.bing.com/maps/?lvl=14&amp;sty=h&amp;cp=35.3245~43.1756&amp;sp=point.35.3245_43.1756","Maplink3")</f>
        <v>Maplink3</v>
      </c>
    </row>
    <row r="1830" spans="1:51" x14ac:dyDescent="0.2">
      <c r="A1830" s="102">
        <v>20389</v>
      </c>
      <c r="B1830" s="103" t="s">
        <v>36</v>
      </c>
      <c r="C1830" s="103" t="s">
        <v>108</v>
      </c>
      <c r="D1830" s="103" t="s">
        <v>3498</v>
      </c>
      <c r="E1830" s="103" t="s">
        <v>3499</v>
      </c>
      <c r="F1830" s="103">
        <v>35.626296526799997</v>
      </c>
      <c r="G1830" s="103">
        <v>43.234515837300002</v>
      </c>
      <c r="H1830" s="102">
        <v>780</v>
      </c>
      <c r="I1830" s="102">
        <v>4680</v>
      </c>
      <c r="J1830" s="103">
        <v>26</v>
      </c>
      <c r="K1830" s="103"/>
      <c r="L1830" s="103"/>
      <c r="M1830" s="103">
        <v>568</v>
      </c>
      <c r="N1830" s="103">
        <v>186</v>
      </c>
      <c r="O1830" s="103"/>
      <c r="P1830" s="103"/>
      <c r="Q1830" s="103"/>
      <c r="R1830" s="103"/>
      <c r="S1830" s="103"/>
      <c r="T1830" s="103"/>
      <c r="U1830" s="103"/>
      <c r="V1830" s="103"/>
      <c r="W1830" s="103"/>
      <c r="X1830" s="103"/>
      <c r="Y1830" s="103"/>
      <c r="Z1830" s="103"/>
      <c r="AA1830" s="103">
        <v>114</v>
      </c>
      <c r="AB1830" s="103"/>
      <c r="AC1830" s="103">
        <v>124</v>
      </c>
      <c r="AD1830" s="103"/>
      <c r="AE1830" s="103"/>
      <c r="AF1830" s="103"/>
      <c r="AG1830" s="103">
        <v>228</v>
      </c>
      <c r="AH1830" s="103"/>
      <c r="AI1830" s="103">
        <v>314</v>
      </c>
      <c r="AJ1830" s="103"/>
      <c r="AK1830" s="103"/>
      <c r="AL1830" s="103"/>
      <c r="AM1830" s="103"/>
      <c r="AN1830" s="103">
        <v>138</v>
      </c>
      <c r="AO1830" s="103">
        <v>155</v>
      </c>
      <c r="AP1830" s="103">
        <v>101</v>
      </c>
      <c r="AQ1830" s="103">
        <v>102</v>
      </c>
      <c r="AR1830" s="103">
        <v>111</v>
      </c>
      <c r="AS1830" s="103">
        <v>173</v>
      </c>
      <c r="AT1830" s="103"/>
      <c r="AU1830" s="103"/>
      <c r="AV1830" s="103"/>
      <c r="AW1830" s="104" t="str">
        <f>HYPERLINK("http://www.openstreetmap.org/?mlat=35.6263&amp;mlon=43.2345&amp;zoom=12#map=12/35.6263/43.2345","Maplink1")</f>
        <v>Maplink1</v>
      </c>
      <c r="AX1830" s="104" t="str">
        <f>HYPERLINK("https://www.google.iq/maps/search/+35.6263,43.2345/@35.6263,43.2345,14z?hl=en","Maplink2")</f>
        <v>Maplink2</v>
      </c>
      <c r="AY1830" s="104" t="str">
        <f>HYPERLINK("http://www.bing.com/maps/?lvl=14&amp;sty=h&amp;cp=35.6263~43.2345&amp;sp=point.35.6263_43.2345","Maplink3")</f>
        <v>Maplink3</v>
      </c>
    </row>
    <row r="1831" spans="1:51" x14ac:dyDescent="0.2">
      <c r="A1831" s="102">
        <v>33130</v>
      </c>
      <c r="B1831" s="103" t="s">
        <v>36</v>
      </c>
      <c r="C1831" s="103" t="s">
        <v>108</v>
      </c>
      <c r="D1831" s="103" t="s">
        <v>3500</v>
      </c>
      <c r="E1831" s="103" t="s">
        <v>171</v>
      </c>
      <c r="F1831" s="103">
        <v>35.608435</v>
      </c>
      <c r="G1831" s="103">
        <v>43.274651197700003</v>
      </c>
      <c r="H1831" s="102">
        <v>183</v>
      </c>
      <c r="I1831" s="102">
        <v>1098</v>
      </c>
      <c r="J1831" s="103">
        <v>14</v>
      </c>
      <c r="K1831" s="103"/>
      <c r="L1831" s="103"/>
      <c r="M1831" s="103">
        <v>154</v>
      </c>
      <c r="N1831" s="103">
        <v>15</v>
      </c>
      <c r="O1831" s="103"/>
      <c r="P1831" s="103"/>
      <c r="Q1831" s="103"/>
      <c r="R1831" s="103"/>
      <c r="S1831" s="103"/>
      <c r="T1831" s="103"/>
      <c r="U1831" s="103"/>
      <c r="V1831" s="103"/>
      <c r="W1831" s="103"/>
      <c r="X1831" s="103"/>
      <c r="Y1831" s="103"/>
      <c r="Z1831" s="103"/>
      <c r="AA1831" s="103">
        <v>19</v>
      </c>
      <c r="AB1831" s="103"/>
      <c r="AC1831" s="103">
        <v>12</v>
      </c>
      <c r="AD1831" s="103"/>
      <c r="AE1831" s="103"/>
      <c r="AF1831" s="103"/>
      <c r="AG1831" s="103">
        <v>70</v>
      </c>
      <c r="AH1831" s="103"/>
      <c r="AI1831" s="103">
        <v>82</v>
      </c>
      <c r="AJ1831" s="103"/>
      <c r="AK1831" s="103"/>
      <c r="AL1831" s="103"/>
      <c r="AM1831" s="103"/>
      <c r="AN1831" s="103">
        <v>14</v>
      </c>
      <c r="AO1831" s="103">
        <v>23</v>
      </c>
      <c r="AP1831" s="103">
        <v>25</v>
      </c>
      <c r="AQ1831" s="103">
        <v>26</v>
      </c>
      <c r="AR1831" s="103">
        <v>31</v>
      </c>
      <c r="AS1831" s="103">
        <v>29</v>
      </c>
      <c r="AT1831" s="103">
        <v>35</v>
      </c>
      <c r="AU1831" s="103"/>
      <c r="AV1831" s="103"/>
      <c r="AW1831" s="104" t="str">
        <f>HYPERLINK("http://www.openstreetmap.org/?mlat=35.6084&amp;mlon=43.2747&amp;zoom=12#map=12/35.6084/43.2747","Maplink1")</f>
        <v>Maplink1</v>
      </c>
      <c r="AX1831" s="104" t="str">
        <f>HYPERLINK("https://www.google.iq/maps/search/+35.6084,43.2747/@35.6084,43.2747,14z?hl=en","Maplink2")</f>
        <v>Maplink2</v>
      </c>
      <c r="AY1831" s="104" t="str">
        <f>HYPERLINK("http://www.bing.com/maps/?lvl=14&amp;sty=h&amp;cp=35.6084~43.2747&amp;sp=point.35.6084_43.2747","Maplink3")</f>
        <v>Maplink3</v>
      </c>
    </row>
    <row r="1832" spans="1:51" x14ac:dyDescent="0.2">
      <c r="A1832" s="102">
        <v>33131</v>
      </c>
      <c r="B1832" s="103" t="s">
        <v>36</v>
      </c>
      <c r="C1832" s="103" t="s">
        <v>108</v>
      </c>
      <c r="D1832" s="103" t="s">
        <v>3529</v>
      </c>
      <c r="E1832" s="103" t="s">
        <v>3530</v>
      </c>
      <c r="F1832" s="103">
        <v>35.565807</v>
      </c>
      <c r="G1832" s="103">
        <v>43.373047616299999</v>
      </c>
      <c r="H1832" s="102">
        <v>76</v>
      </c>
      <c r="I1832" s="102">
        <v>456</v>
      </c>
      <c r="J1832" s="103">
        <v>5</v>
      </c>
      <c r="K1832" s="103"/>
      <c r="L1832" s="103"/>
      <c r="M1832" s="103">
        <v>60</v>
      </c>
      <c r="N1832" s="103">
        <v>11</v>
      </c>
      <c r="O1832" s="103"/>
      <c r="P1832" s="103"/>
      <c r="Q1832" s="103"/>
      <c r="R1832" s="103"/>
      <c r="S1832" s="103"/>
      <c r="T1832" s="103"/>
      <c r="U1832" s="103"/>
      <c r="V1832" s="103"/>
      <c r="W1832" s="103"/>
      <c r="X1832" s="103"/>
      <c r="Y1832" s="103"/>
      <c r="Z1832" s="103"/>
      <c r="AA1832" s="103"/>
      <c r="AB1832" s="103"/>
      <c r="AC1832" s="103">
        <v>3</v>
      </c>
      <c r="AD1832" s="103"/>
      <c r="AE1832" s="103"/>
      <c r="AF1832" s="103"/>
      <c r="AG1832" s="103">
        <v>27</v>
      </c>
      <c r="AH1832" s="103"/>
      <c r="AI1832" s="103">
        <v>46</v>
      </c>
      <c r="AJ1832" s="103"/>
      <c r="AK1832" s="103"/>
      <c r="AL1832" s="103"/>
      <c r="AM1832" s="103"/>
      <c r="AN1832" s="103"/>
      <c r="AO1832" s="103">
        <v>6</v>
      </c>
      <c r="AP1832" s="103">
        <v>7</v>
      </c>
      <c r="AQ1832" s="103">
        <v>6</v>
      </c>
      <c r="AR1832" s="103">
        <v>20</v>
      </c>
      <c r="AS1832" s="103">
        <v>37</v>
      </c>
      <c r="AT1832" s="103"/>
      <c r="AU1832" s="103"/>
      <c r="AV1832" s="103"/>
      <c r="AW1832" s="104" t="str">
        <f>HYPERLINK("http://www.openstreetmap.org/?mlat=35.5658&amp;mlon=43.373&amp;zoom=12#map=12/35.5658/43.373","Maplink1")</f>
        <v>Maplink1</v>
      </c>
      <c r="AX1832" s="104" t="str">
        <f>HYPERLINK("https://www.google.iq/maps/search/+35.5658,43.373/@35.5658,43.373,14z?hl=en","Maplink2")</f>
        <v>Maplink2</v>
      </c>
      <c r="AY1832" s="104" t="str">
        <f>HYPERLINK("http://www.bing.com/maps/?lvl=14&amp;sty=h&amp;cp=35.5658~43.373&amp;sp=point.35.5658_43.373","Maplink3")</f>
        <v>Maplink3</v>
      </c>
    </row>
    <row r="1833" spans="1:51" x14ac:dyDescent="0.2">
      <c r="A1833" s="102">
        <v>20613</v>
      </c>
      <c r="B1833" s="103" t="s">
        <v>36</v>
      </c>
      <c r="C1833" s="103" t="s">
        <v>108</v>
      </c>
      <c r="D1833" s="103" t="s">
        <v>3523</v>
      </c>
      <c r="E1833" s="103" t="s">
        <v>3524</v>
      </c>
      <c r="F1833" s="103">
        <v>35.451979999999999</v>
      </c>
      <c r="G1833" s="103">
        <v>43.291881792200002</v>
      </c>
      <c r="H1833" s="102">
        <v>1049</v>
      </c>
      <c r="I1833" s="102">
        <v>6294</v>
      </c>
      <c r="J1833" s="103">
        <v>22</v>
      </c>
      <c r="K1833" s="103"/>
      <c r="L1833" s="103"/>
      <c r="M1833" s="103">
        <v>996</v>
      </c>
      <c r="N1833" s="103">
        <v>31</v>
      </c>
      <c r="O1833" s="103"/>
      <c r="P1833" s="103"/>
      <c r="Q1833" s="103"/>
      <c r="R1833" s="103"/>
      <c r="S1833" s="103"/>
      <c r="T1833" s="103"/>
      <c r="U1833" s="103"/>
      <c r="V1833" s="103"/>
      <c r="W1833" s="103"/>
      <c r="X1833" s="103"/>
      <c r="Y1833" s="103"/>
      <c r="Z1833" s="103"/>
      <c r="AA1833" s="103">
        <v>211</v>
      </c>
      <c r="AB1833" s="103"/>
      <c r="AC1833" s="103">
        <v>42</v>
      </c>
      <c r="AD1833" s="103"/>
      <c r="AE1833" s="103"/>
      <c r="AF1833" s="103"/>
      <c r="AG1833" s="103">
        <v>28</v>
      </c>
      <c r="AH1833" s="103"/>
      <c r="AI1833" s="103">
        <v>768</v>
      </c>
      <c r="AJ1833" s="103"/>
      <c r="AK1833" s="103"/>
      <c r="AL1833" s="103"/>
      <c r="AM1833" s="103"/>
      <c r="AN1833" s="103">
        <v>153</v>
      </c>
      <c r="AO1833" s="103">
        <v>126</v>
      </c>
      <c r="AP1833" s="103">
        <v>215</v>
      </c>
      <c r="AQ1833" s="103">
        <v>157</v>
      </c>
      <c r="AR1833" s="103">
        <v>224</v>
      </c>
      <c r="AS1833" s="103">
        <v>174</v>
      </c>
      <c r="AT1833" s="103"/>
      <c r="AU1833" s="103"/>
      <c r="AV1833" s="103"/>
      <c r="AW1833" s="104" t="str">
        <f>HYPERLINK("http://www.openstreetmap.org/?mlat=35.452&amp;mlon=43.2919&amp;zoom=12#map=12/35.452/43.2919","Maplink1")</f>
        <v>Maplink1</v>
      </c>
      <c r="AX1833" s="104" t="str">
        <f>HYPERLINK("https://www.google.iq/maps/search/+35.452,43.2919/@35.452,43.2919,14z?hl=en","Maplink2")</f>
        <v>Maplink2</v>
      </c>
      <c r="AY1833" s="104" t="str">
        <f>HYPERLINK("http://www.bing.com/maps/?lvl=14&amp;sty=h&amp;cp=35.452~43.2919&amp;sp=point.35.452_43.2919","Maplink3")</f>
        <v>Maplink3</v>
      </c>
    </row>
    <row r="1834" spans="1:51" x14ac:dyDescent="0.2">
      <c r="A1834" s="102">
        <v>33126</v>
      </c>
      <c r="B1834" s="103" t="s">
        <v>36</v>
      </c>
      <c r="C1834" s="103" t="s">
        <v>108</v>
      </c>
      <c r="D1834" s="103" t="s">
        <v>3525</v>
      </c>
      <c r="E1834" s="103" t="s">
        <v>3526</v>
      </c>
      <c r="F1834" s="103">
        <v>35.560374000000003</v>
      </c>
      <c r="G1834" s="103">
        <v>43.277747640400001</v>
      </c>
      <c r="H1834" s="102">
        <v>907</v>
      </c>
      <c r="I1834" s="102">
        <v>5442</v>
      </c>
      <c r="J1834" s="103">
        <v>24</v>
      </c>
      <c r="K1834" s="103"/>
      <c r="L1834" s="103">
        <v>4</v>
      </c>
      <c r="M1834" s="103">
        <v>847</v>
      </c>
      <c r="N1834" s="103">
        <v>32</v>
      </c>
      <c r="O1834" s="103"/>
      <c r="P1834" s="103"/>
      <c r="Q1834" s="103"/>
      <c r="R1834" s="103"/>
      <c r="S1834" s="103"/>
      <c r="T1834" s="103"/>
      <c r="U1834" s="103"/>
      <c r="V1834" s="103"/>
      <c r="W1834" s="103"/>
      <c r="X1834" s="103">
        <v>9</v>
      </c>
      <c r="Y1834" s="103"/>
      <c r="Z1834" s="103"/>
      <c r="AA1834" s="103">
        <v>126</v>
      </c>
      <c r="AB1834" s="103"/>
      <c r="AC1834" s="103">
        <v>72</v>
      </c>
      <c r="AD1834" s="103"/>
      <c r="AE1834" s="103"/>
      <c r="AF1834" s="103"/>
      <c r="AG1834" s="103">
        <v>67</v>
      </c>
      <c r="AH1834" s="103"/>
      <c r="AI1834" s="103">
        <v>624</v>
      </c>
      <c r="AJ1834" s="103">
        <v>9</v>
      </c>
      <c r="AK1834" s="103"/>
      <c r="AL1834" s="103"/>
      <c r="AM1834" s="103"/>
      <c r="AN1834" s="103">
        <v>132</v>
      </c>
      <c r="AO1834" s="103">
        <v>128</v>
      </c>
      <c r="AP1834" s="103">
        <v>127</v>
      </c>
      <c r="AQ1834" s="103">
        <v>166</v>
      </c>
      <c r="AR1834" s="103">
        <v>169</v>
      </c>
      <c r="AS1834" s="103">
        <v>185</v>
      </c>
      <c r="AT1834" s="103"/>
      <c r="AU1834" s="103"/>
      <c r="AV1834" s="103"/>
      <c r="AW1834" s="104" t="str">
        <f>HYPERLINK("http://www.openstreetmap.org/?mlat=35.5604&amp;mlon=43.2777&amp;zoom=12#map=12/35.5604/43.2777","Maplink1")</f>
        <v>Maplink1</v>
      </c>
      <c r="AX1834" s="104" t="str">
        <f>HYPERLINK("https://www.google.iq/maps/search/+35.5604,43.2777/@35.5604,43.2777,14z?hl=en","Maplink2")</f>
        <v>Maplink2</v>
      </c>
      <c r="AY1834" s="104" t="str">
        <f>HYPERLINK("http://www.bing.com/maps/?lvl=14&amp;sty=h&amp;cp=35.5604~43.2777&amp;sp=point.35.5604_43.2777","Maplink3")</f>
        <v>Maplink3</v>
      </c>
    </row>
    <row r="1835" spans="1:51" x14ac:dyDescent="0.2">
      <c r="A1835" s="102">
        <v>33876</v>
      </c>
      <c r="B1835" s="103" t="s">
        <v>36</v>
      </c>
      <c r="C1835" s="103" t="s">
        <v>108</v>
      </c>
      <c r="D1835" s="103" t="s">
        <v>3527</v>
      </c>
      <c r="E1835" s="103" t="s">
        <v>3528</v>
      </c>
      <c r="F1835" s="103">
        <v>35.681125000000002</v>
      </c>
      <c r="G1835" s="103">
        <v>43.310938999999998</v>
      </c>
      <c r="H1835" s="102">
        <v>75</v>
      </c>
      <c r="I1835" s="102">
        <v>450</v>
      </c>
      <c r="J1835" s="103">
        <v>9</v>
      </c>
      <c r="K1835" s="103"/>
      <c r="L1835" s="103"/>
      <c r="M1835" s="103">
        <v>49</v>
      </c>
      <c r="N1835" s="103">
        <v>17</v>
      </c>
      <c r="O1835" s="103"/>
      <c r="P1835" s="103"/>
      <c r="Q1835" s="103"/>
      <c r="R1835" s="103"/>
      <c r="S1835" s="103"/>
      <c r="T1835" s="103"/>
      <c r="U1835" s="103"/>
      <c r="V1835" s="103"/>
      <c r="W1835" s="103"/>
      <c r="X1835" s="103"/>
      <c r="Y1835" s="103"/>
      <c r="Z1835" s="103"/>
      <c r="AA1835" s="103"/>
      <c r="AB1835" s="103"/>
      <c r="AC1835" s="103"/>
      <c r="AD1835" s="103"/>
      <c r="AE1835" s="103"/>
      <c r="AF1835" s="103"/>
      <c r="AG1835" s="103">
        <v>75</v>
      </c>
      <c r="AH1835" s="103"/>
      <c r="AI1835" s="103"/>
      <c r="AJ1835" s="103"/>
      <c r="AK1835" s="103"/>
      <c r="AL1835" s="103"/>
      <c r="AM1835" s="103"/>
      <c r="AN1835" s="103">
        <v>10</v>
      </c>
      <c r="AO1835" s="103">
        <v>17</v>
      </c>
      <c r="AP1835" s="103">
        <v>11</v>
      </c>
      <c r="AQ1835" s="103">
        <v>14</v>
      </c>
      <c r="AR1835" s="103">
        <v>15</v>
      </c>
      <c r="AS1835" s="103">
        <v>8</v>
      </c>
      <c r="AT1835" s="103"/>
      <c r="AU1835" s="103"/>
      <c r="AV1835" s="103"/>
      <c r="AW1835" s="104" t="str">
        <f>HYPERLINK("http://www.openstreetmap.org/?mlat=35.6811&amp;mlon=43.3109&amp;zoom=12#map=12/35.6811/43.3109","Maplink1")</f>
        <v>Maplink1</v>
      </c>
      <c r="AX1835" s="104" t="str">
        <f>HYPERLINK("https://www.google.iq/maps/search/+35.6811,43.3109/@35.6811,43.3109,14z?hl=en","Maplink2")</f>
        <v>Maplink2</v>
      </c>
      <c r="AY1835" s="104" t="str">
        <f>HYPERLINK("http://www.bing.com/maps/?lvl=14&amp;sty=h&amp;cp=35.6811~43.3109&amp;sp=point.35.6811_43.3109","Maplink3")</f>
        <v>Maplink3</v>
      </c>
    </row>
    <row r="1836" spans="1:51" x14ac:dyDescent="0.2">
      <c r="A1836" s="102">
        <v>20991</v>
      </c>
      <c r="B1836" s="103" t="s">
        <v>36</v>
      </c>
      <c r="C1836" s="103" t="s">
        <v>108</v>
      </c>
      <c r="D1836" s="103" t="s">
        <v>3589</v>
      </c>
      <c r="E1836" s="103" t="s">
        <v>3590</v>
      </c>
      <c r="F1836" s="103">
        <v>35.470744245699997</v>
      </c>
      <c r="G1836" s="103">
        <v>43.246323945699999</v>
      </c>
      <c r="H1836" s="102">
        <v>368</v>
      </c>
      <c r="I1836" s="102">
        <v>2208</v>
      </c>
      <c r="J1836" s="103"/>
      <c r="K1836" s="103"/>
      <c r="L1836" s="103"/>
      <c r="M1836" s="103">
        <v>364</v>
      </c>
      <c r="N1836" s="103">
        <v>4</v>
      </c>
      <c r="O1836" s="103"/>
      <c r="P1836" s="103"/>
      <c r="Q1836" s="103"/>
      <c r="R1836" s="103"/>
      <c r="S1836" s="103"/>
      <c r="T1836" s="103"/>
      <c r="U1836" s="103"/>
      <c r="V1836" s="103"/>
      <c r="W1836" s="103">
        <v>15</v>
      </c>
      <c r="X1836" s="103">
        <v>19</v>
      </c>
      <c r="Y1836" s="103"/>
      <c r="Z1836" s="103"/>
      <c r="AA1836" s="103">
        <v>79</v>
      </c>
      <c r="AB1836" s="103"/>
      <c r="AC1836" s="103">
        <v>39</v>
      </c>
      <c r="AD1836" s="103"/>
      <c r="AE1836" s="103"/>
      <c r="AF1836" s="103"/>
      <c r="AG1836" s="103"/>
      <c r="AH1836" s="103"/>
      <c r="AI1836" s="103">
        <v>200</v>
      </c>
      <c r="AJ1836" s="103">
        <v>16</v>
      </c>
      <c r="AK1836" s="103"/>
      <c r="AL1836" s="103"/>
      <c r="AM1836" s="103"/>
      <c r="AN1836" s="103">
        <v>208</v>
      </c>
      <c r="AO1836" s="103">
        <v>100</v>
      </c>
      <c r="AP1836" s="103">
        <v>23</v>
      </c>
      <c r="AQ1836" s="103">
        <v>17</v>
      </c>
      <c r="AR1836" s="103">
        <v>20</v>
      </c>
      <c r="AS1836" s="103"/>
      <c r="AT1836" s="103"/>
      <c r="AU1836" s="103"/>
      <c r="AV1836" s="103"/>
      <c r="AW1836" s="104" t="str">
        <f>HYPERLINK("http://www.openstreetmap.org/?mlat=35.4707&amp;mlon=43.2463&amp;zoom=12#map=12/35.4707/43.2463","Maplink1")</f>
        <v>Maplink1</v>
      </c>
      <c r="AX1836" s="104" t="str">
        <f>HYPERLINK("https://www.google.iq/maps/search/+35.4707,43.2463/@35.4707,43.2463,14z?hl=en","Maplink2")</f>
        <v>Maplink2</v>
      </c>
      <c r="AY1836" s="104" t="str">
        <f>HYPERLINK("http://www.bing.com/maps/?lvl=14&amp;sty=h&amp;cp=35.4707~43.2463&amp;sp=point.35.4707_43.2463","Maplink3")</f>
        <v>Maplink3</v>
      </c>
    </row>
    <row r="1837" spans="1:51" x14ac:dyDescent="0.2">
      <c r="A1837" s="102">
        <v>20868</v>
      </c>
      <c r="B1837" s="103" t="s">
        <v>36</v>
      </c>
      <c r="C1837" s="103" t="s">
        <v>108</v>
      </c>
      <c r="D1837" s="103" t="s">
        <v>3583</v>
      </c>
      <c r="E1837" s="103" t="s">
        <v>3584</v>
      </c>
      <c r="F1837" s="103">
        <v>35.272459681100003</v>
      </c>
      <c r="G1837" s="103">
        <v>43.237238069999997</v>
      </c>
      <c r="H1837" s="102">
        <v>294</v>
      </c>
      <c r="I1837" s="102">
        <v>1764</v>
      </c>
      <c r="J1837" s="103">
        <v>6</v>
      </c>
      <c r="K1837" s="103"/>
      <c r="L1837" s="103">
        <v>3</v>
      </c>
      <c r="M1837" s="103">
        <v>276</v>
      </c>
      <c r="N1837" s="103">
        <v>9</v>
      </c>
      <c r="O1837" s="103"/>
      <c r="P1837" s="103"/>
      <c r="Q1837" s="103"/>
      <c r="R1837" s="103"/>
      <c r="S1837" s="103"/>
      <c r="T1837" s="103"/>
      <c r="U1837" s="103"/>
      <c r="V1837" s="103"/>
      <c r="W1837" s="103">
        <v>20</v>
      </c>
      <c r="X1837" s="103"/>
      <c r="Y1837" s="103"/>
      <c r="Z1837" s="103"/>
      <c r="AA1837" s="103">
        <v>10</v>
      </c>
      <c r="AB1837" s="103"/>
      <c r="AC1837" s="103">
        <v>27</v>
      </c>
      <c r="AD1837" s="103"/>
      <c r="AE1837" s="103"/>
      <c r="AF1837" s="103"/>
      <c r="AG1837" s="103"/>
      <c r="AH1837" s="103"/>
      <c r="AI1837" s="103">
        <v>237</v>
      </c>
      <c r="AJ1837" s="103"/>
      <c r="AK1837" s="103"/>
      <c r="AL1837" s="103"/>
      <c r="AM1837" s="103"/>
      <c r="AN1837" s="103">
        <v>42</v>
      </c>
      <c r="AO1837" s="103">
        <v>47</v>
      </c>
      <c r="AP1837" s="103">
        <v>62</v>
      </c>
      <c r="AQ1837" s="103">
        <v>69</v>
      </c>
      <c r="AR1837" s="103">
        <v>74</v>
      </c>
      <c r="AS1837" s="103"/>
      <c r="AT1837" s="103"/>
      <c r="AU1837" s="103"/>
      <c r="AV1837" s="103"/>
      <c r="AW1837" s="104" t="str">
        <f>HYPERLINK("http://www.openstreetmap.org/?mlat=35.2725&amp;mlon=43.2372&amp;zoom=12#map=12/35.2725/43.2372","Maplink1")</f>
        <v>Maplink1</v>
      </c>
      <c r="AX1837" s="104" t="str">
        <f>HYPERLINK("https://www.google.iq/maps/search/+35.2725,43.2372/@35.2725,43.2372,14z?hl=en","Maplink2")</f>
        <v>Maplink2</v>
      </c>
      <c r="AY1837" s="104" t="str">
        <f>HYPERLINK("http://www.bing.com/maps/?lvl=14&amp;sty=h&amp;cp=35.2725~43.2372&amp;sp=point.35.2725_43.2372","Maplink3")</f>
        <v>Maplink3</v>
      </c>
    </row>
    <row r="1838" spans="1:51" x14ac:dyDescent="0.2">
      <c r="A1838" s="102">
        <v>21955</v>
      </c>
      <c r="B1838" s="103" t="s">
        <v>36</v>
      </c>
      <c r="C1838" s="103" t="s">
        <v>108</v>
      </c>
      <c r="D1838" s="103" t="s">
        <v>3585</v>
      </c>
      <c r="E1838" s="103" t="s">
        <v>3586</v>
      </c>
      <c r="F1838" s="103">
        <v>35.486099598899997</v>
      </c>
      <c r="G1838" s="103">
        <v>43.241364505299998</v>
      </c>
      <c r="H1838" s="102">
        <v>760</v>
      </c>
      <c r="I1838" s="102">
        <v>4560</v>
      </c>
      <c r="J1838" s="103">
        <v>11</v>
      </c>
      <c r="K1838" s="103"/>
      <c r="L1838" s="103">
        <v>24</v>
      </c>
      <c r="M1838" s="103">
        <v>692</v>
      </c>
      <c r="N1838" s="103">
        <v>25</v>
      </c>
      <c r="O1838" s="103"/>
      <c r="P1838" s="103">
        <v>8</v>
      </c>
      <c r="Q1838" s="103"/>
      <c r="R1838" s="103"/>
      <c r="S1838" s="103"/>
      <c r="T1838" s="103"/>
      <c r="U1838" s="103"/>
      <c r="V1838" s="103"/>
      <c r="W1838" s="103">
        <v>13</v>
      </c>
      <c r="X1838" s="103">
        <v>31</v>
      </c>
      <c r="Y1838" s="103"/>
      <c r="Z1838" s="103"/>
      <c r="AA1838" s="103">
        <v>141</v>
      </c>
      <c r="AB1838" s="103"/>
      <c r="AC1838" s="103">
        <v>176</v>
      </c>
      <c r="AD1838" s="103"/>
      <c r="AE1838" s="103"/>
      <c r="AF1838" s="103"/>
      <c r="AG1838" s="103">
        <v>7</v>
      </c>
      <c r="AH1838" s="103"/>
      <c r="AI1838" s="103">
        <v>387</v>
      </c>
      <c r="AJ1838" s="103">
        <v>5</v>
      </c>
      <c r="AK1838" s="103"/>
      <c r="AL1838" s="103"/>
      <c r="AM1838" s="103"/>
      <c r="AN1838" s="103">
        <v>320</v>
      </c>
      <c r="AO1838" s="103">
        <v>151</v>
      </c>
      <c r="AP1838" s="103">
        <v>138</v>
      </c>
      <c r="AQ1838" s="103">
        <v>64</v>
      </c>
      <c r="AR1838" s="103">
        <v>87</v>
      </c>
      <c r="AS1838" s="103"/>
      <c r="AT1838" s="103"/>
      <c r="AU1838" s="103"/>
      <c r="AV1838" s="103"/>
      <c r="AW1838" s="104" t="str">
        <f>HYPERLINK("http://www.openstreetmap.org/?mlat=35.4861&amp;mlon=43.2414&amp;zoom=12#map=12/35.4861/43.2414","Maplink1")</f>
        <v>Maplink1</v>
      </c>
      <c r="AX1838" s="104" t="str">
        <f>HYPERLINK("https://www.google.iq/maps/search/+35.4861,43.2414/@35.4861,43.2414,14z?hl=en","Maplink2")</f>
        <v>Maplink2</v>
      </c>
      <c r="AY1838" s="104" t="str">
        <f>HYPERLINK("http://www.bing.com/maps/?lvl=14&amp;sty=h&amp;cp=35.4861~43.2414&amp;sp=point.35.4861_43.2414","Maplink3")</f>
        <v>Maplink3</v>
      </c>
    </row>
    <row r="1839" spans="1:51" x14ac:dyDescent="0.2">
      <c r="A1839" s="102">
        <v>33566</v>
      </c>
      <c r="B1839" s="103" t="s">
        <v>36</v>
      </c>
      <c r="C1839" s="103" t="s">
        <v>108</v>
      </c>
      <c r="D1839" s="103" t="s">
        <v>3587</v>
      </c>
      <c r="E1839" s="103" t="s">
        <v>3588</v>
      </c>
      <c r="F1839" s="103">
        <v>35.727708</v>
      </c>
      <c r="G1839" s="103">
        <v>43.333300999999999</v>
      </c>
      <c r="H1839" s="102">
        <v>202</v>
      </c>
      <c r="I1839" s="102">
        <v>1212</v>
      </c>
      <c r="J1839" s="103">
        <v>16</v>
      </c>
      <c r="K1839" s="103"/>
      <c r="L1839" s="103"/>
      <c r="M1839" s="103">
        <v>146</v>
      </c>
      <c r="N1839" s="103">
        <v>40</v>
      </c>
      <c r="O1839" s="103"/>
      <c r="P1839" s="103"/>
      <c r="Q1839" s="103"/>
      <c r="R1839" s="103"/>
      <c r="S1839" s="103"/>
      <c r="T1839" s="103"/>
      <c r="U1839" s="103"/>
      <c r="V1839" s="103"/>
      <c r="W1839" s="103"/>
      <c r="X1839" s="103"/>
      <c r="Y1839" s="103"/>
      <c r="Z1839" s="103"/>
      <c r="AA1839" s="103"/>
      <c r="AB1839" s="103"/>
      <c r="AC1839" s="103"/>
      <c r="AD1839" s="103"/>
      <c r="AE1839" s="103"/>
      <c r="AF1839" s="103"/>
      <c r="AG1839" s="103">
        <v>202</v>
      </c>
      <c r="AH1839" s="103"/>
      <c r="AI1839" s="103"/>
      <c r="AJ1839" s="103"/>
      <c r="AK1839" s="103"/>
      <c r="AL1839" s="103"/>
      <c r="AM1839" s="103"/>
      <c r="AN1839" s="103">
        <v>25</v>
      </c>
      <c r="AO1839" s="103">
        <v>26</v>
      </c>
      <c r="AP1839" s="103">
        <v>28</v>
      </c>
      <c r="AQ1839" s="103">
        <v>34</v>
      </c>
      <c r="AR1839" s="103">
        <v>33</v>
      </c>
      <c r="AS1839" s="103">
        <v>56</v>
      </c>
      <c r="AT1839" s="103"/>
      <c r="AU1839" s="103"/>
      <c r="AV1839" s="103"/>
      <c r="AW1839" s="104" t="str">
        <f>HYPERLINK("http://www.openstreetmap.org/?mlat=35.7277&amp;mlon=43.3333&amp;zoom=12#map=12/35.7277/43.3333","Maplink1")</f>
        <v>Maplink1</v>
      </c>
      <c r="AX1839" s="104" t="str">
        <f>HYPERLINK("https://www.google.iq/maps/search/+35.7277,43.3333/@35.7277,43.3333,14z?hl=en","Maplink2")</f>
        <v>Maplink2</v>
      </c>
      <c r="AY1839" s="104" t="str">
        <f>HYPERLINK("http://www.bing.com/maps/?lvl=14&amp;sty=h&amp;cp=35.7277~43.3333&amp;sp=point.35.7277_43.3333","Maplink3")</f>
        <v>Maplink3</v>
      </c>
    </row>
    <row r="1840" spans="1:51" x14ac:dyDescent="0.2">
      <c r="A1840" s="102">
        <v>20588</v>
      </c>
      <c r="B1840" s="103" t="s">
        <v>36</v>
      </c>
      <c r="C1840" s="103" t="s">
        <v>108</v>
      </c>
      <c r="D1840" s="103" t="s">
        <v>3567</v>
      </c>
      <c r="E1840" s="103" t="s">
        <v>3568</v>
      </c>
      <c r="F1840" s="103">
        <v>35.466904</v>
      </c>
      <c r="G1840" s="103">
        <v>43.294179020400001</v>
      </c>
      <c r="H1840" s="102">
        <v>861</v>
      </c>
      <c r="I1840" s="102">
        <v>5166</v>
      </c>
      <c r="J1840" s="103">
        <v>28</v>
      </c>
      <c r="K1840" s="103"/>
      <c r="L1840" s="103"/>
      <c r="M1840" s="103">
        <v>797</v>
      </c>
      <c r="N1840" s="103">
        <v>36</v>
      </c>
      <c r="O1840" s="103"/>
      <c r="P1840" s="103"/>
      <c r="Q1840" s="103"/>
      <c r="R1840" s="103"/>
      <c r="S1840" s="103"/>
      <c r="T1840" s="103"/>
      <c r="U1840" s="103"/>
      <c r="V1840" s="103"/>
      <c r="W1840" s="103"/>
      <c r="X1840" s="103"/>
      <c r="Y1840" s="103"/>
      <c r="Z1840" s="103"/>
      <c r="AA1840" s="103">
        <v>141</v>
      </c>
      <c r="AB1840" s="103"/>
      <c r="AC1840" s="103">
        <v>119</v>
      </c>
      <c r="AD1840" s="103"/>
      <c r="AE1840" s="103"/>
      <c r="AF1840" s="103"/>
      <c r="AG1840" s="103">
        <v>115</v>
      </c>
      <c r="AH1840" s="103"/>
      <c r="AI1840" s="103">
        <v>486</v>
      </c>
      <c r="AJ1840" s="103"/>
      <c r="AK1840" s="103"/>
      <c r="AL1840" s="103"/>
      <c r="AM1840" s="103"/>
      <c r="AN1840" s="103">
        <v>134</v>
      </c>
      <c r="AO1840" s="103">
        <v>137</v>
      </c>
      <c r="AP1840" s="103">
        <v>141</v>
      </c>
      <c r="AQ1840" s="103">
        <v>143</v>
      </c>
      <c r="AR1840" s="103">
        <v>148</v>
      </c>
      <c r="AS1840" s="103">
        <v>158</v>
      </c>
      <c r="AT1840" s="103"/>
      <c r="AU1840" s="103"/>
      <c r="AV1840" s="103"/>
      <c r="AW1840" s="104" t="str">
        <f>HYPERLINK("http://www.openstreetmap.org/?mlat=35.4669&amp;mlon=43.2942&amp;zoom=12#map=12/35.4669/43.2942","Maplink1")</f>
        <v>Maplink1</v>
      </c>
      <c r="AX1840" s="104" t="str">
        <f>HYPERLINK("https://www.google.iq/maps/search/+35.4669,43.2942/@35.4669,43.2942,14z?hl=en","Maplink2")</f>
        <v>Maplink2</v>
      </c>
      <c r="AY1840" s="104" t="str">
        <f>HYPERLINK("http://www.bing.com/maps/?lvl=14&amp;sty=h&amp;cp=35.4669~43.2942&amp;sp=point.35.4669_43.2942","Maplink3")</f>
        <v>Maplink3</v>
      </c>
    </row>
    <row r="1841" spans="1:51" x14ac:dyDescent="0.2">
      <c r="A1841" s="102">
        <v>33132</v>
      </c>
      <c r="B1841" s="103" t="s">
        <v>36</v>
      </c>
      <c r="C1841" s="103" t="s">
        <v>108</v>
      </c>
      <c r="D1841" s="103" t="s">
        <v>3569</v>
      </c>
      <c r="E1841" s="103" t="s">
        <v>3570</v>
      </c>
      <c r="F1841" s="103">
        <v>35.637101999999999</v>
      </c>
      <c r="G1841" s="103">
        <v>43.271811073599999</v>
      </c>
      <c r="H1841" s="102">
        <v>162</v>
      </c>
      <c r="I1841" s="102">
        <v>972</v>
      </c>
      <c r="J1841" s="103">
        <v>3</v>
      </c>
      <c r="K1841" s="103"/>
      <c r="L1841" s="103"/>
      <c r="M1841" s="103">
        <v>128</v>
      </c>
      <c r="N1841" s="103">
        <v>31</v>
      </c>
      <c r="O1841" s="103"/>
      <c r="P1841" s="103"/>
      <c r="Q1841" s="103"/>
      <c r="R1841" s="103"/>
      <c r="S1841" s="103"/>
      <c r="T1841" s="103"/>
      <c r="U1841" s="103"/>
      <c r="V1841" s="103"/>
      <c r="W1841" s="103"/>
      <c r="X1841" s="103"/>
      <c r="Y1841" s="103"/>
      <c r="Z1841" s="103"/>
      <c r="AA1841" s="103">
        <v>39</v>
      </c>
      <c r="AB1841" s="103"/>
      <c r="AC1841" s="103"/>
      <c r="AD1841" s="103"/>
      <c r="AE1841" s="103"/>
      <c r="AF1841" s="103"/>
      <c r="AG1841" s="103">
        <v>48</v>
      </c>
      <c r="AH1841" s="103"/>
      <c r="AI1841" s="103">
        <v>75</v>
      </c>
      <c r="AJ1841" s="103"/>
      <c r="AK1841" s="103"/>
      <c r="AL1841" s="103"/>
      <c r="AM1841" s="103"/>
      <c r="AN1841" s="103"/>
      <c r="AO1841" s="103">
        <v>24</v>
      </c>
      <c r="AP1841" s="103">
        <v>22</v>
      </c>
      <c r="AQ1841" s="103">
        <v>23</v>
      </c>
      <c r="AR1841" s="103">
        <v>44</v>
      </c>
      <c r="AS1841" s="103">
        <v>49</v>
      </c>
      <c r="AT1841" s="103"/>
      <c r="AU1841" s="103"/>
      <c r="AV1841" s="103"/>
      <c r="AW1841" s="104" t="str">
        <f>HYPERLINK("http://www.openstreetmap.org/?mlat=35.6371&amp;mlon=43.2718&amp;zoom=12#map=12/35.6371/43.2718","Maplink1")</f>
        <v>Maplink1</v>
      </c>
      <c r="AX1841" s="104" t="str">
        <f>HYPERLINK("https://www.google.iq/maps/search/+35.6371,43.2718/@35.6371,43.2718,14z?hl=en","Maplink2")</f>
        <v>Maplink2</v>
      </c>
      <c r="AY1841" s="104" t="str">
        <f>HYPERLINK("http://www.bing.com/maps/?lvl=14&amp;sty=h&amp;cp=35.6371~43.2718&amp;sp=point.35.6371_43.2718","Maplink3")</f>
        <v>Maplink3</v>
      </c>
    </row>
    <row r="1842" spans="1:51" x14ac:dyDescent="0.2">
      <c r="A1842" s="102">
        <v>20392</v>
      </c>
      <c r="B1842" s="103" t="s">
        <v>36</v>
      </c>
      <c r="C1842" s="103" t="s">
        <v>108</v>
      </c>
      <c r="D1842" s="103" t="s">
        <v>3575</v>
      </c>
      <c r="E1842" s="103" t="s">
        <v>3576</v>
      </c>
      <c r="F1842" s="103">
        <v>35.608120956500002</v>
      </c>
      <c r="G1842" s="103">
        <v>43.241912765400002</v>
      </c>
      <c r="H1842" s="102">
        <v>557</v>
      </c>
      <c r="I1842" s="102">
        <v>3342</v>
      </c>
      <c r="J1842" s="103">
        <v>12</v>
      </c>
      <c r="K1842" s="103"/>
      <c r="L1842" s="103">
        <v>3</v>
      </c>
      <c r="M1842" s="103">
        <v>483</v>
      </c>
      <c r="N1842" s="103">
        <v>38</v>
      </c>
      <c r="O1842" s="103">
        <v>21</v>
      </c>
      <c r="P1842" s="103"/>
      <c r="Q1842" s="103"/>
      <c r="R1842" s="103"/>
      <c r="S1842" s="103"/>
      <c r="T1842" s="103"/>
      <c r="U1842" s="103"/>
      <c r="V1842" s="103"/>
      <c r="W1842" s="103"/>
      <c r="X1842" s="103">
        <v>15</v>
      </c>
      <c r="Y1842" s="103"/>
      <c r="Z1842" s="103"/>
      <c r="AA1842" s="103">
        <v>89</v>
      </c>
      <c r="AB1842" s="103"/>
      <c r="AC1842" s="103">
        <v>126</v>
      </c>
      <c r="AD1842" s="103"/>
      <c r="AE1842" s="103"/>
      <c r="AF1842" s="103"/>
      <c r="AG1842" s="103">
        <v>104</v>
      </c>
      <c r="AH1842" s="103"/>
      <c r="AI1842" s="103">
        <v>223</v>
      </c>
      <c r="AJ1842" s="103"/>
      <c r="AK1842" s="103"/>
      <c r="AL1842" s="103"/>
      <c r="AM1842" s="103"/>
      <c r="AN1842" s="103">
        <v>141</v>
      </c>
      <c r="AO1842" s="103">
        <v>88</v>
      </c>
      <c r="AP1842" s="103">
        <v>75</v>
      </c>
      <c r="AQ1842" s="103">
        <v>75</v>
      </c>
      <c r="AR1842" s="103">
        <v>87</v>
      </c>
      <c r="AS1842" s="103">
        <v>91</v>
      </c>
      <c r="AT1842" s="103"/>
      <c r="AU1842" s="103"/>
      <c r="AV1842" s="103"/>
      <c r="AW1842" s="104" t="str">
        <f>HYPERLINK("http://www.openstreetmap.org/?mlat=35.6081&amp;mlon=43.2419&amp;zoom=12#map=12/35.6081/43.2419","Maplink1")</f>
        <v>Maplink1</v>
      </c>
      <c r="AX1842" s="104" t="str">
        <f>HYPERLINK("https://www.google.iq/maps/search/+35.6081,43.2419/@35.6081,43.2419,14z?hl=en","Maplink2")</f>
        <v>Maplink2</v>
      </c>
      <c r="AY1842" s="104" t="str">
        <f>HYPERLINK("http://www.bing.com/maps/?lvl=14&amp;sty=h&amp;cp=35.6081~43.2419&amp;sp=point.35.6081_43.2419","Maplink3")</f>
        <v>Maplink3</v>
      </c>
    </row>
    <row r="1843" spans="1:51" x14ac:dyDescent="0.2">
      <c r="A1843" s="102">
        <v>33403</v>
      </c>
      <c r="B1843" s="103" t="s">
        <v>36</v>
      </c>
      <c r="C1843" s="103" t="s">
        <v>108</v>
      </c>
      <c r="D1843" s="103" t="s">
        <v>3577</v>
      </c>
      <c r="E1843" s="103" t="s">
        <v>3578</v>
      </c>
      <c r="F1843" s="103">
        <v>35.380935999999998</v>
      </c>
      <c r="G1843" s="103">
        <v>43.302784971900003</v>
      </c>
      <c r="H1843" s="102">
        <v>233</v>
      </c>
      <c r="I1843" s="102">
        <v>1398</v>
      </c>
      <c r="J1843" s="103">
        <v>9</v>
      </c>
      <c r="K1843" s="103"/>
      <c r="L1843" s="103"/>
      <c r="M1843" s="103">
        <v>196</v>
      </c>
      <c r="N1843" s="103">
        <v>28</v>
      </c>
      <c r="O1843" s="103"/>
      <c r="P1843" s="103"/>
      <c r="Q1843" s="103"/>
      <c r="R1843" s="103"/>
      <c r="S1843" s="103"/>
      <c r="T1843" s="103"/>
      <c r="U1843" s="103"/>
      <c r="V1843" s="103"/>
      <c r="W1843" s="103"/>
      <c r="X1843" s="103"/>
      <c r="Y1843" s="103"/>
      <c r="Z1843" s="103"/>
      <c r="AA1843" s="103"/>
      <c r="AB1843" s="103"/>
      <c r="AC1843" s="103">
        <v>39</v>
      </c>
      <c r="AD1843" s="103"/>
      <c r="AE1843" s="103"/>
      <c r="AF1843" s="103"/>
      <c r="AG1843" s="103">
        <v>19</v>
      </c>
      <c r="AH1843" s="103"/>
      <c r="AI1843" s="103">
        <v>175</v>
      </c>
      <c r="AJ1843" s="103"/>
      <c r="AK1843" s="103"/>
      <c r="AL1843" s="103"/>
      <c r="AM1843" s="103"/>
      <c r="AN1843" s="103">
        <v>32</v>
      </c>
      <c r="AO1843" s="103">
        <v>30</v>
      </c>
      <c r="AP1843" s="103">
        <v>31</v>
      </c>
      <c r="AQ1843" s="103">
        <v>49</v>
      </c>
      <c r="AR1843" s="103">
        <v>41</v>
      </c>
      <c r="AS1843" s="103">
        <v>50</v>
      </c>
      <c r="AT1843" s="103"/>
      <c r="AU1843" s="103"/>
      <c r="AV1843" s="103"/>
      <c r="AW1843" s="104" t="str">
        <f>HYPERLINK("http://www.openstreetmap.org/?mlat=35.3809&amp;mlon=43.3028&amp;zoom=12#map=12/35.3809/43.3028","Maplink1")</f>
        <v>Maplink1</v>
      </c>
      <c r="AX1843" s="104" t="str">
        <f>HYPERLINK("https://www.google.iq/maps/search/+35.3809,43.3028/@35.3809,43.3028,14z?hl=en","Maplink2")</f>
        <v>Maplink2</v>
      </c>
      <c r="AY1843" s="104" t="str">
        <f>HYPERLINK("http://www.bing.com/maps/?lvl=14&amp;sty=h&amp;cp=35.3809~43.3028&amp;sp=point.35.3809_43.3028","Maplink3")</f>
        <v>Maplink3</v>
      </c>
    </row>
    <row r="1844" spans="1:51" x14ac:dyDescent="0.2">
      <c r="A1844" s="102">
        <v>34000</v>
      </c>
      <c r="B1844" s="103" t="s">
        <v>36</v>
      </c>
      <c r="C1844" s="103" t="s">
        <v>108</v>
      </c>
      <c r="D1844" s="103" t="s">
        <v>3561</v>
      </c>
      <c r="E1844" s="103" t="s">
        <v>3562</v>
      </c>
      <c r="F1844" s="103">
        <v>35.648617000000002</v>
      </c>
      <c r="G1844" s="103">
        <v>43.384712</v>
      </c>
      <c r="H1844" s="102">
        <v>104</v>
      </c>
      <c r="I1844" s="102">
        <v>624</v>
      </c>
      <c r="J1844" s="103">
        <v>9</v>
      </c>
      <c r="K1844" s="103"/>
      <c r="L1844" s="103"/>
      <c r="M1844" s="103">
        <v>81</v>
      </c>
      <c r="N1844" s="103">
        <v>14</v>
      </c>
      <c r="O1844" s="103"/>
      <c r="P1844" s="103"/>
      <c r="Q1844" s="103"/>
      <c r="R1844" s="103"/>
      <c r="S1844" s="103"/>
      <c r="T1844" s="103"/>
      <c r="U1844" s="103"/>
      <c r="V1844" s="103"/>
      <c r="W1844" s="103"/>
      <c r="X1844" s="103"/>
      <c r="Y1844" s="103"/>
      <c r="Z1844" s="103"/>
      <c r="AA1844" s="103"/>
      <c r="AB1844" s="103"/>
      <c r="AC1844" s="103"/>
      <c r="AD1844" s="103"/>
      <c r="AE1844" s="103"/>
      <c r="AF1844" s="103"/>
      <c r="AG1844" s="103">
        <v>104</v>
      </c>
      <c r="AH1844" s="103"/>
      <c r="AI1844" s="103"/>
      <c r="AJ1844" s="103"/>
      <c r="AK1844" s="103"/>
      <c r="AL1844" s="103"/>
      <c r="AM1844" s="103"/>
      <c r="AN1844" s="103"/>
      <c r="AO1844" s="103">
        <v>13</v>
      </c>
      <c r="AP1844" s="103">
        <v>18</v>
      </c>
      <c r="AQ1844" s="103">
        <v>26</v>
      </c>
      <c r="AR1844" s="103">
        <v>19</v>
      </c>
      <c r="AS1844" s="103">
        <v>28</v>
      </c>
      <c r="AT1844" s="103"/>
      <c r="AU1844" s="103"/>
      <c r="AV1844" s="103"/>
      <c r="AW1844" s="104" t="str">
        <f>HYPERLINK("http://www.openstreetmap.org/?mlat=35.6486&amp;mlon=43.3847&amp;zoom=12#map=12/35.6486/43.3847","Maplink1")</f>
        <v>Maplink1</v>
      </c>
      <c r="AX1844" s="104" t="str">
        <f>HYPERLINK("https://www.google.iq/maps/search/+35.6486,43.3847/@35.6486,43.3847,14z?hl=en","Maplink2")</f>
        <v>Maplink2</v>
      </c>
      <c r="AY1844" s="104" t="str">
        <f>HYPERLINK("http://www.bing.com/maps/?lvl=14&amp;sty=h&amp;cp=35.6486~43.3847&amp;sp=point.35.6486_43.3847","Maplink3")</f>
        <v>Maplink3</v>
      </c>
    </row>
    <row r="1845" spans="1:51" x14ac:dyDescent="0.2">
      <c r="A1845" s="102">
        <v>33125</v>
      </c>
      <c r="B1845" s="103" t="s">
        <v>36</v>
      </c>
      <c r="C1845" s="103" t="s">
        <v>108</v>
      </c>
      <c r="D1845" s="103" t="s">
        <v>3597</v>
      </c>
      <c r="E1845" s="103" t="s">
        <v>3598</v>
      </c>
      <c r="F1845" s="103">
        <v>35.254700999999997</v>
      </c>
      <c r="G1845" s="103">
        <v>43.264526780700002</v>
      </c>
      <c r="H1845" s="102">
        <v>112</v>
      </c>
      <c r="I1845" s="102">
        <v>672</v>
      </c>
      <c r="J1845" s="103"/>
      <c r="K1845" s="103"/>
      <c r="L1845" s="103"/>
      <c r="M1845" s="103">
        <v>112</v>
      </c>
      <c r="N1845" s="103"/>
      <c r="O1845" s="103"/>
      <c r="P1845" s="103"/>
      <c r="Q1845" s="103"/>
      <c r="R1845" s="103"/>
      <c r="S1845" s="103"/>
      <c r="T1845" s="103"/>
      <c r="U1845" s="103"/>
      <c r="V1845" s="103"/>
      <c r="W1845" s="103"/>
      <c r="X1845" s="103"/>
      <c r="Y1845" s="103"/>
      <c r="Z1845" s="103"/>
      <c r="AA1845" s="103"/>
      <c r="AB1845" s="103"/>
      <c r="AC1845" s="103">
        <v>4</v>
      </c>
      <c r="AD1845" s="103"/>
      <c r="AE1845" s="103"/>
      <c r="AF1845" s="103"/>
      <c r="AG1845" s="103"/>
      <c r="AH1845" s="103"/>
      <c r="AI1845" s="103">
        <v>108</v>
      </c>
      <c r="AJ1845" s="103"/>
      <c r="AK1845" s="103"/>
      <c r="AL1845" s="103"/>
      <c r="AM1845" s="103"/>
      <c r="AN1845" s="103">
        <v>13</v>
      </c>
      <c r="AO1845" s="103">
        <v>31</v>
      </c>
      <c r="AP1845" s="103">
        <v>21</v>
      </c>
      <c r="AQ1845" s="103">
        <v>24</v>
      </c>
      <c r="AR1845" s="103">
        <v>13</v>
      </c>
      <c r="AS1845" s="103">
        <v>10</v>
      </c>
      <c r="AT1845" s="103"/>
      <c r="AU1845" s="103"/>
      <c r="AV1845" s="103"/>
      <c r="AW1845" s="104" t="str">
        <f>HYPERLINK("http://www.openstreetmap.org/?mlat=35.2547&amp;mlon=43.2645&amp;zoom=12#map=12/35.2547/43.2645","Maplink1")</f>
        <v>Maplink1</v>
      </c>
      <c r="AX1845" s="104" t="str">
        <f>HYPERLINK("https://www.google.iq/maps/search/+35.2547,43.2645/@35.2547,43.2645,14z?hl=en","Maplink2")</f>
        <v>Maplink2</v>
      </c>
      <c r="AY1845" s="104" t="str">
        <f>HYPERLINK("http://www.bing.com/maps/?lvl=14&amp;sty=h&amp;cp=35.2547~43.2645&amp;sp=point.35.2547_43.2645","Maplink3")</f>
        <v>Maplink3</v>
      </c>
    </row>
    <row r="1846" spans="1:51" x14ac:dyDescent="0.2">
      <c r="A1846" s="102">
        <v>20403</v>
      </c>
      <c r="B1846" s="103" t="s">
        <v>36</v>
      </c>
      <c r="C1846" s="103" t="s">
        <v>108</v>
      </c>
      <c r="D1846" s="103" t="s">
        <v>3556</v>
      </c>
      <c r="E1846" s="103" t="s">
        <v>3557</v>
      </c>
      <c r="F1846" s="103">
        <v>35.573976980499999</v>
      </c>
      <c r="G1846" s="103">
        <v>43.230924717000001</v>
      </c>
      <c r="H1846" s="102">
        <v>442</v>
      </c>
      <c r="I1846" s="102">
        <v>2652</v>
      </c>
      <c r="J1846" s="103">
        <v>14</v>
      </c>
      <c r="K1846" s="103"/>
      <c r="L1846" s="103"/>
      <c r="M1846" s="103">
        <v>397</v>
      </c>
      <c r="N1846" s="103">
        <v>31</v>
      </c>
      <c r="O1846" s="103"/>
      <c r="P1846" s="103"/>
      <c r="Q1846" s="103"/>
      <c r="R1846" s="103"/>
      <c r="S1846" s="103"/>
      <c r="T1846" s="103"/>
      <c r="U1846" s="103"/>
      <c r="V1846" s="103"/>
      <c r="W1846" s="103"/>
      <c r="X1846" s="103">
        <v>17</v>
      </c>
      <c r="Y1846" s="103"/>
      <c r="Z1846" s="103"/>
      <c r="AA1846" s="103">
        <v>73</v>
      </c>
      <c r="AB1846" s="103"/>
      <c r="AC1846" s="103">
        <v>57</v>
      </c>
      <c r="AD1846" s="103"/>
      <c r="AE1846" s="103"/>
      <c r="AF1846" s="103"/>
      <c r="AG1846" s="103">
        <v>84</v>
      </c>
      <c r="AH1846" s="103"/>
      <c r="AI1846" s="103">
        <v>202</v>
      </c>
      <c r="AJ1846" s="103">
        <v>9</v>
      </c>
      <c r="AK1846" s="103"/>
      <c r="AL1846" s="103"/>
      <c r="AM1846" s="103"/>
      <c r="AN1846" s="103">
        <v>104</v>
      </c>
      <c r="AO1846" s="103">
        <v>113</v>
      </c>
      <c r="AP1846" s="103">
        <v>61</v>
      </c>
      <c r="AQ1846" s="103">
        <v>70</v>
      </c>
      <c r="AR1846" s="103">
        <v>94</v>
      </c>
      <c r="AS1846" s="103"/>
      <c r="AT1846" s="103"/>
      <c r="AU1846" s="103"/>
      <c r="AV1846" s="103"/>
      <c r="AW1846" s="104" t="str">
        <f>HYPERLINK("http://www.openstreetmap.org/?mlat=35.574&amp;mlon=43.2309&amp;zoom=12#map=12/35.574/43.2309","Maplink1")</f>
        <v>Maplink1</v>
      </c>
      <c r="AX1846" s="104" t="str">
        <f>HYPERLINK("https://www.google.iq/maps/search/+35.574,43.2309/@35.574,43.2309,14z?hl=en","Maplink2")</f>
        <v>Maplink2</v>
      </c>
      <c r="AY1846" s="104" t="str">
        <f>HYPERLINK("http://www.bing.com/maps/?lvl=14&amp;sty=h&amp;cp=35.574~43.2309&amp;sp=point.35.574_43.2309","Maplink3")</f>
        <v>Maplink3</v>
      </c>
    </row>
    <row r="1847" spans="1:51" x14ac:dyDescent="0.2">
      <c r="A1847" s="102">
        <v>20517</v>
      </c>
      <c r="B1847" s="103" t="s">
        <v>36</v>
      </c>
      <c r="C1847" s="103" t="s">
        <v>108</v>
      </c>
      <c r="D1847" s="103" t="s">
        <v>3558</v>
      </c>
      <c r="E1847" s="103" t="s">
        <v>2444</v>
      </c>
      <c r="F1847" s="103">
        <v>35.257086999999999</v>
      </c>
      <c r="G1847" s="103">
        <v>43.258671769899998</v>
      </c>
      <c r="H1847" s="102">
        <v>589</v>
      </c>
      <c r="I1847" s="102">
        <v>3534</v>
      </c>
      <c r="J1847" s="103">
        <v>13</v>
      </c>
      <c r="K1847" s="103"/>
      <c r="L1847" s="103">
        <v>13</v>
      </c>
      <c r="M1847" s="103">
        <v>548</v>
      </c>
      <c r="N1847" s="103">
        <v>15</v>
      </c>
      <c r="O1847" s="103"/>
      <c r="P1847" s="103"/>
      <c r="Q1847" s="103"/>
      <c r="R1847" s="103"/>
      <c r="S1847" s="103"/>
      <c r="T1847" s="103"/>
      <c r="U1847" s="103"/>
      <c r="V1847" s="103"/>
      <c r="W1847" s="103"/>
      <c r="X1847" s="103"/>
      <c r="Y1847" s="103"/>
      <c r="Z1847" s="103"/>
      <c r="AA1847" s="103"/>
      <c r="AB1847" s="103"/>
      <c r="AC1847" s="103">
        <v>68</v>
      </c>
      <c r="AD1847" s="103"/>
      <c r="AE1847" s="103"/>
      <c r="AF1847" s="103"/>
      <c r="AG1847" s="103">
        <v>22</v>
      </c>
      <c r="AH1847" s="103"/>
      <c r="AI1847" s="103">
        <v>499</v>
      </c>
      <c r="AJ1847" s="103"/>
      <c r="AK1847" s="103"/>
      <c r="AL1847" s="103"/>
      <c r="AM1847" s="103"/>
      <c r="AN1847" s="103">
        <v>161</v>
      </c>
      <c r="AO1847" s="103">
        <v>64</v>
      </c>
      <c r="AP1847" s="103">
        <v>59</v>
      </c>
      <c r="AQ1847" s="103">
        <v>72</v>
      </c>
      <c r="AR1847" s="103">
        <v>130</v>
      </c>
      <c r="AS1847" s="103">
        <v>103</v>
      </c>
      <c r="AT1847" s="103"/>
      <c r="AU1847" s="103"/>
      <c r="AV1847" s="103"/>
      <c r="AW1847" s="104" t="str">
        <f>HYPERLINK("http://www.openstreetmap.org/?mlat=35.2571&amp;mlon=43.2587&amp;zoom=12#map=12/35.2571/43.2587","Maplink1")</f>
        <v>Maplink1</v>
      </c>
      <c r="AX1847" s="104" t="str">
        <f>HYPERLINK("https://www.google.iq/maps/search/+35.2571,43.2587/@35.2571,43.2587,14z?hl=en","Maplink2")</f>
        <v>Maplink2</v>
      </c>
      <c r="AY1847" s="104" t="str">
        <f>HYPERLINK("http://www.bing.com/maps/?lvl=14&amp;sty=h&amp;cp=35.2571~43.2587&amp;sp=point.35.2571_43.2587","Maplink3")</f>
        <v>Maplink3</v>
      </c>
    </row>
    <row r="1848" spans="1:51" x14ac:dyDescent="0.2">
      <c r="A1848" s="102">
        <v>20395</v>
      </c>
      <c r="B1848" s="103" t="s">
        <v>36</v>
      </c>
      <c r="C1848" s="103" t="s">
        <v>108</v>
      </c>
      <c r="D1848" s="103" t="s">
        <v>3579</v>
      </c>
      <c r="E1848" s="103" t="s">
        <v>3580</v>
      </c>
      <c r="F1848" s="103">
        <v>35.5443241121</v>
      </c>
      <c r="G1848" s="103">
        <v>43.2248358708</v>
      </c>
      <c r="H1848" s="102">
        <v>630</v>
      </c>
      <c r="I1848" s="102">
        <v>3780</v>
      </c>
      <c r="J1848" s="103">
        <v>23</v>
      </c>
      <c r="K1848" s="103"/>
      <c r="L1848" s="103">
        <v>24</v>
      </c>
      <c r="M1848" s="103">
        <v>561</v>
      </c>
      <c r="N1848" s="103">
        <v>22</v>
      </c>
      <c r="O1848" s="103"/>
      <c r="P1848" s="103"/>
      <c r="Q1848" s="103"/>
      <c r="R1848" s="103"/>
      <c r="S1848" s="103"/>
      <c r="T1848" s="103"/>
      <c r="U1848" s="103"/>
      <c r="V1848" s="103"/>
      <c r="W1848" s="103">
        <v>12</v>
      </c>
      <c r="X1848" s="103">
        <v>18</v>
      </c>
      <c r="Y1848" s="103">
        <v>4</v>
      </c>
      <c r="Z1848" s="103"/>
      <c r="AA1848" s="103">
        <v>194</v>
      </c>
      <c r="AB1848" s="103"/>
      <c r="AC1848" s="103">
        <v>103</v>
      </c>
      <c r="AD1848" s="103"/>
      <c r="AE1848" s="103"/>
      <c r="AF1848" s="103"/>
      <c r="AG1848" s="103">
        <v>17</v>
      </c>
      <c r="AH1848" s="103"/>
      <c r="AI1848" s="103">
        <v>273</v>
      </c>
      <c r="AJ1848" s="103">
        <v>9</v>
      </c>
      <c r="AK1848" s="103"/>
      <c r="AL1848" s="103"/>
      <c r="AM1848" s="103"/>
      <c r="AN1848" s="103">
        <v>153</v>
      </c>
      <c r="AO1848" s="103">
        <v>133</v>
      </c>
      <c r="AP1848" s="103">
        <v>72</v>
      </c>
      <c r="AQ1848" s="103">
        <v>68</v>
      </c>
      <c r="AR1848" s="103">
        <v>104</v>
      </c>
      <c r="AS1848" s="103">
        <v>100</v>
      </c>
      <c r="AT1848" s="103"/>
      <c r="AU1848" s="103"/>
      <c r="AV1848" s="103"/>
      <c r="AW1848" s="104" t="str">
        <f>HYPERLINK("http://www.openstreetmap.org/?mlat=35.5443&amp;mlon=43.2248&amp;zoom=12#map=12/35.5443/43.2248","Maplink1")</f>
        <v>Maplink1</v>
      </c>
      <c r="AX1848" s="104" t="str">
        <f>HYPERLINK("https://www.google.iq/maps/search/+35.5443,43.2248/@35.5443,43.2248,14z?hl=en","Maplink2")</f>
        <v>Maplink2</v>
      </c>
      <c r="AY1848" s="104" t="str">
        <f>HYPERLINK("http://www.bing.com/maps/?lvl=14&amp;sty=h&amp;cp=35.5443~43.2248&amp;sp=point.35.5443_43.2248","Maplink3")</f>
        <v>Maplink3</v>
      </c>
    </row>
    <row r="1849" spans="1:51" x14ac:dyDescent="0.2">
      <c r="A1849" s="102">
        <v>33129</v>
      </c>
      <c r="B1849" s="103" t="s">
        <v>36</v>
      </c>
      <c r="C1849" s="103" t="s">
        <v>108</v>
      </c>
      <c r="D1849" s="103" t="s">
        <v>3581</v>
      </c>
      <c r="E1849" s="103" t="s">
        <v>3582</v>
      </c>
      <c r="F1849" s="103">
        <v>35.501528999999998</v>
      </c>
      <c r="G1849" s="103">
        <v>43.278553811800002</v>
      </c>
      <c r="H1849" s="102">
        <v>181</v>
      </c>
      <c r="I1849" s="102">
        <v>1086</v>
      </c>
      <c r="J1849" s="103">
        <v>11</v>
      </c>
      <c r="K1849" s="103"/>
      <c r="L1849" s="103"/>
      <c r="M1849" s="103">
        <v>162</v>
      </c>
      <c r="N1849" s="103">
        <v>8</v>
      </c>
      <c r="O1849" s="103"/>
      <c r="P1849" s="103"/>
      <c r="Q1849" s="103"/>
      <c r="R1849" s="103"/>
      <c r="S1849" s="103"/>
      <c r="T1849" s="103"/>
      <c r="U1849" s="103"/>
      <c r="V1849" s="103"/>
      <c r="W1849" s="103"/>
      <c r="X1849" s="103"/>
      <c r="Y1849" s="103"/>
      <c r="Z1849" s="103"/>
      <c r="AA1849" s="103"/>
      <c r="AB1849" s="103"/>
      <c r="AC1849" s="103">
        <v>31</v>
      </c>
      <c r="AD1849" s="103"/>
      <c r="AE1849" s="103"/>
      <c r="AF1849" s="103"/>
      <c r="AG1849" s="103"/>
      <c r="AH1849" s="103"/>
      <c r="AI1849" s="103">
        <v>150</v>
      </c>
      <c r="AJ1849" s="103"/>
      <c r="AK1849" s="103"/>
      <c r="AL1849" s="103"/>
      <c r="AM1849" s="103"/>
      <c r="AN1849" s="103"/>
      <c r="AO1849" s="103"/>
      <c r="AP1849" s="103">
        <v>9</v>
      </c>
      <c r="AQ1849" s="103">
        <v>40</v>
      </c>
      <c r="AR1849" s="103">
        <v>90</v>
      </c>
      <c r="AS1849" s="103">
        <v>42</v>
      </c>
      <c r="AT1849" s="103"/>
      <c r="AU1849" s="103"/>
      <c r="AV1849" s="103"/>
      <c r="AW1849" s="104" t="str">
        <f>HYPERLINK("http://www.openstreetmap.org/?mlat=35.5015&amp;mlon=43.2786&amp;zoom=12#map=12/35.5015/43.2786","Maplink1")</f>
        <v>Maplink1</v>
      </c>
      <c r="AX1849" s="104" t="str">
        <f>HYPERLINK("https://www.google.iq/maps/search/+35.5015,43.2786/@35.5015,43.2786,14z?hl=en","Maplink2")</f>
        <v>Maplink2</v>
      </c>
      <c r="AY1849" s="104" t="str">
        <f>HYPERLINK("http://www.bing.com/maps/?lvl=14&amp;sty=h&amp;cp=35.5015~43.2786&amp;sp=point.35.5015_43.2786","Maplink3")</f>
        <v>Maplink3</v>
      </c>
    </row>
    <row r="1850" spans="1:51" x14ac:dyDescent="0.2">
      <c r="A1850" s="102">
        <v>24667</v>
      </c>
      <c r="B1850" s="103" t="s">
        <v>36</v>
      </c>
      <c r="C1850" s="103" t="s">
        <v>108</v>
      </c>
      <c r="D1850" s="103" t="s">
        <v>3599</v>
      </c>
      <c r="E1850" s="103" t="s">
        <v>3600</v>
      </c>
      <c r="F1850" s="103">
        <v>35.4728990654</v>
      </c>
      <c r="G1850" s="103">
        <v>43.239934848899999</v>
      </c>
      <c r="H1850" s="102">
        <v>199</v>
      </c>
      <c r="I1850" s="102">
        <v>1194</v>
      </c>
      <c r="J1850" s="103">
        <v>3</v>
      </c>
      <c r="K1850" s="103"/>
      <c r="L1850" s="103">
        <v>3</v>
      </c>
      <c r="M1850" s="103">
        <v>187</v>
      </c>
      <c r="N1850" s="103">
        <v>6</v>
      </c>
      <c r="O1850" s="103"/>
      <c r="P1850" s="103"/>
      <c r="Q1850" s="103"/>
      <c r="R1850" s="103"/>
      <c r="S1850" s="103"/>
      <c r="T1850" s="103"/>
      <c r="U1850" s="103"/>
      <c r="V1850" s="103"/>
      <c r="W1850" s="103"/>
      <c r="X1850" s="103"/>
      <c r="Y1850" s="103"/>
      <c r="Z1850" s="103"/>
      <c r="AA1850" s="103">
        <v>37</v>
      </c>
      <c r="AB1850" s="103"/>
      <c r="AC1850" s="103">
        <v>46</v>
      </c>
      <c r="AD1850" s="103"/>
      <c r="AE1850" s="103"/>
      <c r="AF1850" s="103"/>
      <c r="AG1850" s="103">
        <v>4</v>
      </c>
      <c r="AH1850" s="103"/>
      <c r="AI1850" s="103">
        <v>112</v>
      </c>
      <c r="AJ1850" s="103"/>
      <c r="AK1850" s="103"/>
      <c r="AL1850" s="103"/>
      <c r="AM1850" s="103"/>
      <c r="AN1850" s="103">
        <v>104</v>
      </c>
      <c r="AO1850" s="103">
        <v>14</v>
      </c>
      <c r="AP1850" s="103">
        <v>30</v>
      </c>
      <c r="AQ1850" s="103">
        <v>21</v>
      </c>
      <c r="AR1850" s="103">
        <v>30</v>
      </c>
      <c r="AS1850" s="103"/>
      <c r="AT1850" s="103"/>
      <c r="AU1850" s="103"/>
      <c r="AV1850" s="103"/>
      <c r="AW1850" s="104" t="str">
        <f>HYPERLINK("http://www.openstreetmap.org/?mlat=35.4729&amp;mlon=43.2399&amp;zoom=12#map=12/35.4729/43.2399","Maplink1")</f>
        <v>Maplink1</v>
      </c>
      <c r="AX1850" s="104" t="str">
        <f>HYPERLINK("https://www.google.iq/maps/search/+35.4729,43.2399/@35.4729,43.2399,14z?hl=en","Maplink2")</f>
        <v>Maplink2</v>
      </c>
      <c r="AY1850" s="104" t="str">
        <f>HYPERLINK("http://www.bing.com/maps/?lvl=14&amp;sty=h&amp;cp=35.4729~43.2399&amp;sp=point.35.4729_43.2399","Maplink3")</f>
        <v>Maplink3</v>
      </c>
    </row>
    <row r="1851" spans="1:51" x14ac:dyDescent="0.2">
      <c r="A1851" s="102">
        <v>21347</v>
      </c>
      <c r="B1851" s="103" t="s">
        <v>36</v>
      </c>
      <c r="C1851" s="103" t="s">
        <v>108</v>
      </c>
      <c r="D1851" s="103" t="s">
        <v>3601</v>
      </c>
      <c r="E1851" s="103" t="s">
        <v>3602</v>
      </c>
      <c r="F1851" s="103">
        <v>35.4067073322</v>
      </c>
      <c r="G1851" s="103">
        <v>43.204430649999999</v>
      </c>
      <c r="H1851" s="102">
        <v>164</v>
      </c>
      <c r="I1851" s="102">
        <v>984</v>
      </c>
      <c r="J1851" s="103"/>
      <c r="K1851" s="103"/>
      <c r="L1851" s="103"/>
      <c r="M1851" s="103">
        <v>164</v>
      </c>
      <c r="N1851" s="103"/>
      <c r="O1851" s="103"/>
      <c r="P1851" s="103"/>
      <c r="Q1851" s="103"/>
      <c r="R1851" s="103"/>
      <c r="S1851" s="103"/>
      <c r="T1851" s="103"/>
      <c r="U1851" s="103"/>
      <c r="V1851" s="103"/>
      <c r="W1851" s="103"/>
      <c r="X1851" s="103"/>
      <c r="Y1851" s="103"/>
      <c r="Z1851" s="103"/>
      <c r="AA1851" s="103">
        <v>39</v>
      </c>
      <c r="AB1851" s="103"/>
      <c r="AC1851" s="103">
        <v>28</v>
      </c>
      <c r="AD1851" s="103"/>
      <c r="AE1851" s="103"/>
      <c r="AF1851" s="103"/>
      <c r="AG1851" s="103"/>
      <c r="AH1851" s="103"/>
      <c r="AI1851" s="103">
        <v>97</v>
      </c>
      <c r="AJ1851" s="103"/>
      <c r="AK1851" s="103"/>
      <c r="AL1851" s="103"/>
      <c r="AM1851" s="103"/>
      <c r="AN1851" s="103">
        <v>114</v>
      </c>
      <c r="AO1851" s="103">
        <v>10</v>
      </c>
      <c r="AP1851" s="103">
        <v>12</v>
      </c>
      <c r="AQ1851" s="103">
        <v>12</v>
      </c>
      <c r="AR1851" s="103">
        <v>16</v>
      </c>
      <c r="AS1851" s="103"/>
      <c r="AT1851" s="103"/>
      <c r="AU1851" s="103"/>
      <c r="AV1851" s="103"/>
      <c r="AW1851" s="104" t="str">
        <f>HYPERLINK("http://www.openstreetmap.org/?mlat=35.4067&amp;mlon=43.2044&amp;zoom=12#map=12/35.4067/43.2044","Maplink1")</f>
        <v>Maplink1</v>
      </c>
      <c r="AX1851" s="104" t="str">
        <f>HYPERLINK("https://www.google.iq/maps/search/+35.4067,43.2044/@35.4067,43.2044,14z?hl=en","Maplink2")</f>
        <v>Maplink2</v>
      </c>
      <c r="AY1851" s="104" t="str">
        <f>HYPERLINK("http://www.bing.com/maps/?lvl=14&amp;sty=h&amp;cp=35.4067~43.2044&amp;sp=point.35.4067_43.2044","Maplink3")</f>
        <v>Maplink3</v>
      </c>
    </row>
    <row r="1852" spans="1:51" x14ac:dyDescent="0.2">
      <c r="A1852" s="102">
        <v>33135</v>
      </c>
      <c r="B1852" s="103" t="s">
        <v>36</v>
      </c>
      <c r="C1852" s="103" t="s">
        <v>108</v>
      </c>
      <c r="D1852" s="103" t="s">
        <v>3603</v>
      </c>
      <c r="E1852" s="103" t="s">
        <v>3604</v>
      </c>
      <c r="F1852" s="103">
        <v>35.551963999999998</v>
      </c>
      <c r="G1852" s="103">
        <v>43.376218999999999</v>
      </c>
      <c r="H1852" s="102">
        <v>27</v>
      </c>
      <c r="I1852" s="102">
        <v>162</v>
      </c>
      <c r="J1852" s="103"/>
      <c r="K1852" s="103"/>
      <c r="L1852" s="103"/>
      <c r="M1852" s="103">
        <v>27</v>
      </c>
      <c r="N1852" s="103"/>
      <c r="O1852" s="103"/>
      <c r="P1852" s="103"/>
      <c r="Q1852" s="103"/>
      <c r="R1852" s="103"/>
      <c r="S1852" s="103"/>
      <c r="T1852" s="103"/>
      <c r="U1852" s="103"/>
      <c r="V1852" s="103"/>
      <c r="W1852" s="103"/>
      <c r="X1852" s="103"/>
      <c r="Y1852" s="103"/>
      <c r="Z1852" s="103"/>
      <c r="AA1852" s="103"/>
      <c r="AB1852" s="103"/>
      <c r="AC1852" s="103">
        <v>6</v>
      </c>
      <c r="AD1852" s="103"/>
      <c r="AE1852" s="103"/>
      <c r="AF1852" s="103"/>
      <c r="AG1852" s="103"/>
      <c r="AH1852" s="103"/>
      <c r="AI1852" s="103">
        <v>21</v>
      </c>
      <c r="AJ1852" s="103"/>
      <c r="AK1852" s="103"/>
      <c r="AL1852" s="103"/>
      <c r="AM1852" s="103"/>
      <c r="AN1852" s="103"/>
      <c r="AO1852" s="103"/>
      <c r="AP1852" s="103"/>
      <c r="AQ1852" s="103">
        <v>4</v>
      </c>
      <c r="AR1852" s="103">
        <v>3</v>
      </c>
      <c r="AS1852" s="103">
        <v>10</v>
      </c>
      <c r="AT1852" s="103">
        <v>10</v>
      </c>
      <c r="AU1852" s="103"/>
      <c r="AV1852" s="103"/>
      <c r="AW1852" s="104" t="str">
        <f>HYPERLINK("http://www.openstreetmap.org/?mlat=35.552&amp;mlon=43.3762&amp;zoom=12#map=12/35.552/43.3762","Maplink1")</f>
        <v>Maplink1</v>
      </c>
      <c r="AX1852" s="104" t="str">
        <f>HYPERLINK("https://www.google.iq/maps/search/+35.552,43.3762/@35.552,43.3762,14z?hl=en","Maplink2")</f>
        <v>Maplink2</v>
      </c>
      <c r="AY1852" s="104" t="str">
        <f>HYPERLINK("http://www.bing.com/maps/?lvl=14&amp;sty=h&amp;cp=35.552~43.3762&amp;sp=point.35.552_43.3762","Maplink3")</f>
        <v>Maplink3</v>
      </c>
    </row>
    <row r="1853" spans="1:51" x14ac:dyDescent="0.2">
      <c r="A1853" s="102">
        <v>21004</v>
      </c>
      <c r="B1853" s="103" t="s">
        <v>36</v>
      </c>
      <c r="C1853" s="103" t="s">
        <v>108</v>
      </c>
      <c r="D1853" s="103" t="s">
        <v>374</v>
      </c>
      <c r="E1853" s="103" t="s">
        <v>375</v>
      </c>
      <c r="F1853" s="103">
        <v>35.515882680200001</v>
      </c>
      <c r="G1853" s="103">
        <v>43.240143268799997</v>
      </c>
      <c r="H1853" s="102">
        <v>894</v>
      </c>
      <c r="I1853" s="102">
        <v>5364</v>
      </c>
      <c r="J1853" s="103">
        <v>10</v>
      </c>
      <c r="K1853" s="103"/>
      <c r="L1853" s="103">
        <v>13</v>
      </c>
      <c r="M1853" s="103">
        <v>828</v>
      </c>
      <c r="N1853" s="103">
        <v>35</v>
      </c>
      <c r="O1853" s="103"/>
      <c r="P1853" s="103">
        <v>8</v>
      </c>
      <c r="Q1853" s="103"/>
      <c r="R1853" s="103"/>
      <c r="S1853" s="103"/>
      <c r="T1853" s="103"/>
      <c r="U1853" s="103"/>
      <c r="V1853" s="103"/>
      <c r="W1853" s="103">
        <v>39</v>
      </c>
      <c r="X1853" s="103">
        <v>19</v>
      </c>
      <c r="Y1853" s="103">
        <v>13</v>
      </c>
      <c r="Z1853" s="103"/>
      <c r="AA1853" s="103">
        <v>147</v>
      </c>
      <c r="AB1853" s="103"/>
      <c r="AC1853" s="103">
        <v>270</v>
      </c>
      <c r="AD1853" s="103"/>
      <c r="AE1853" s="103"/>
      <c r="AF1853" s="103"/>
      <c r="AG1853" s="103"/>
      <c r="AH1853" s="103"/>
      <c r="AI1853" s="103">
        <v>398</v>
      </c>
      <c r="AJ1853" s="103">
        <v>8</v>
      </c>
      <c r="AK1853" s="103"/>
      <c r="AL1853" s="103"/>
      <c r="AM1853" s="103"/>
      <c r="AN1853" s="103">
        <v>317</v>
      </c>
      <c r="AO1853" s="103">
        <v>278</v>
      </c>
      <c r="AP1853" s="103">
        <v>96</v>
      </c>
      <c r="AQ1853" s="103">
        <v>95</v>
      </c>
      <c r="AR1853" s="103">
        <v>108</v>
      </c>
      <c r="AS1853" s="103"/>
      <c r="AT1853" s="103"/>
      <c r="AU1853" s="103"/>
      <c r="AV1853" s="103"/>
      <c r="AW1853" s="104" t="str">
        <f>HYPERLINK("http://www.openstreetmap.org/?mlat=35.5159&amp;mlon=43.2401&amp;zoom=12#map=12/35.5159/43.2401","Maplink1")</f>
        <v>Maplink1</v>
      </c>
      <c r="AX1853" s="104" t="str">
        <f>HYPERLINK("https://www.google.iq/maps/search/+35.5159,43.2401/@35.5159,43.2401,14z?hl=en","Maplink2")</f>
        <v>Maplink2</v>
      </c>
      <c r="AY1853" s="104" t="str">
        <f>HYPERLINK("http://www.bing.com/maps/?lvl=14&amp;sty=h&amp;cp=35.5159~43.2401&amp;sp=point.35.5159_43.2401","Maplink3")</f>
        <v>Maplink3</v>
      </c>
    </row>
    <row r="1854" spans="1:51" x14ac:dyDescent="0.2">
      <c r="A1854" s="102">
        <v>33122</v>
      </c>
      <c r="B1854" s="103" t="s">
        <v>36</v>
      </c>
      <c r="C1854" s="103" t="s">
        <v>108</v>
      </c>
      <c r="D1854" s="103" t="s">
        <v>3571</v>
      </c>
      <c r="E1854" s="103" t="s">
        <v>3572</v>
      </c>
      <c r="F1854" s="103">
        <v>35.443156999999999</v>
      </c>
      <c r="G1854" s="103">
        <v>43.2880241051</v>
      </c>
      <c r="H1854" s="102">
        <v>1746</v>
      </c>
      <c r="I1854" s="102">
        <v>10476</v>
      </c>
      <c r="J1854" s="103">
        <v>21</v>
      </c>
      <c r="K1854" s="103"/>
      <c r="L1854" s="103"/>
      <c r="M1854" s="103">
        <v>1687</v>
      </c>
      <c r="N1854" s="103">
        <v>38</v>
      </c>
      <c r="O1854" s="103"/>
      <c r="P1854" s="103"/>
      <c r="Q1854" s="103"/>
      <c r="R1854" s="103"/>
      <c r="S1854" s="103"/>
      <c r="T1854" s="103"/>
      <c r="U1854" s="103"/>
      <c r="V1854" s="103"/>
      <c r="W1854" s="103"/>
      <c r="X1854" s="103"/>
      <c r="Y1854" s="103"/>
      <c r="Z1854" s="103"/>
      <c r="AA1854" s="103">
        <v>183</v>
      </c>
      <c r="AB1854" s="103"/>
      <c r="AC1854" s="103">
        <v>212</v>
      </c>
      <c r="AD1854" s="103"/>
      <c r="AE1854" s="103"/>
      <c r="AF1854" s="103"/>
      <c r="AG1854" s="103">
        <v>51</v>
      </c>
      <c r="AH1854" s="103"/>
      <c r="AI1854" s="103">
        <v>1300</v>
      </c>
      <c r="AJ1854" s="103"/>
      <c r="AK1854" s="103"/>
      <c r="AL1854" s="103"/>
      <c r="AM1854" s="103"/>
      <c r="AN1854" s="103">
        <v>243</v>
      </c>
      <c r="AO1854" s="103">
        <v>163</v>
      </c>
      <c r="AP1854" s="103">
        <v>341</v>
      </c>
      <c r="AQ1854" s="103">
        <v>205</v>
      </c>
      <c r="AR1854" s="103">
        <v>263</v>
      </c>
      <c r="AS1854" s="103">
        <v>531</v>
      </c>
      <c r="AT1854" s="103"/>
      <c r="AU1854" s="103"/>
      <c r="AV1854" s="103"/>
      <c r="AW1854" s="104" t="str">
        <f>HYPERLINK("http://www.openstreetmap.org/?mlat=35.4432&amp;mlon=43.288&amp;zoom=12#map=12/35.4432/43.288","Maplink1")</f>
        <v>Maplink1</v>
      </c>
      <c r="AX1854" s="104" t="str">
        <f>HYPERLINK("https://www.google.iq/maps/search/+35.4432,43.288/@35.4432,43.288,14z?hl=en","Maplink2")</f>
        <v>Maplink2</v>
      </c>
      <c r="AY1854" s="104" t="str">
        <f>HYPERLINK("http://www.bing.com/maps/?lvl=14&amp;sty=h&amp;cp=35.4432~43.288&amp;sp=point.35.4432_43.288","Maplink3")</f>
        <v>Maplink3</v>
      </c>
    </row>
    <row r="1855" spans="1:51" x14ac:dyDescent="0.2">
      <c r="A1855" s="102">
        <v>33136</v>
      </c>
      <c r="B1855" s="103" t="s">
        <v>36</v>
      </c>
      <c r="C1855" s="103" t="s">
        <v>108</v>
      </c>
      <c r="D1855" s="103" t="s">
        <v>3573</v>
      </c>
      <c r="E1855" s="103" t="s">
        <v>3574</v>
      </c>
      <c r="F1855" s="103">
        <v>35.539661000000002</v>
      </c>
      <c r="G1855" s="103">
        <v>43.265877189100003</v>
      </c>
      <c r="H1855" s="102">
        <v>1378</v>
      </c>
      <c r="I1855" s="102">
        <v>8268</v>
      </c>
      <c r="J1855" s="103">
        <v>31</v>
      </c>
      <c r="K1855" s="103"/>
      <c r="L1855" s="103"/>
      <c r="M1855" s="103">
        <v>1301</v>
      </c>
      <c r="N1855" s="103">
        <v>46</v>
      </c>
      <c r="O1855" s="103"/>
      <c r="P1855" s="103"/>
      <c r="Q1855" s="103"/>
      <c r="R1855" s="103"/>
      <c r="S1855" s="103"/>
      <c r="T1855" s="103"/>
      <c r="U1855" s="103"/>
      <c r="V1855" s="103"/>
      <c r="W1855" s="103"/>
      <c r="X1855" s="103">
        <v>6</v>
      </c>
      <c r="Y1855" s="103"/>
      <c r="Z1855" s="103"/>
      <c r="AA1855" s="103">
        <v>146</v>
      </c>
      <c r="AB1855" s="103"/>
      <c r="AC1855" s="103">
        <v>125</v>
      </c>
      <c r="AD1855" s="103"/>
      <c r="AE1855" s="103"/>
      <c r="AF1855" s="103"/>
      <c r="AG1855" s="103">
        <v>68</v>
      </c>
      <c r="AH1855" s="103"/>
      <c r="AI1855" s="103">
        <v>1033</v>
      </c>
      <c r="AJ1855" s="103"/>
      <c r="AK1855" s="103"/>
      <c r="AL1855" s="103"/>
      <c r="AM1855" s="103"/>
      <c r="AN1855" s="103">
        <v>131</v>
      </c>
      <c r="AO1855" s="103">
        <v>189</v>
      </c>
      <c r="AP1855" s="103">
        <v>281</v>
      </c>
      <c r="AQ1855" s="103">
        <v>203</v>
      </c>
      <c r="AR1855" s="103">
        <v>261</v>
      </c>
      <c r="AS1855" s="103">
        <v>313</v>
      </c>
      <c r="AT1855" s="103"/>
      <c r="AU1855" s="103"/>
      <c r="AV1855" s="103"/>
      <c r="AW1855" s="104" t="str">
        <f>HYPERLINK("http://www.openstreetmap.org/?mlat=35.5397&amp;mlon=43.2659&amp;zoom=12#map=12/35.5397/43.2659","Maplink1")</f>
        <v>Maplink1</v>
      </c>
      <c r="AX1855" s="104" t="str">
        <f>HYPERLINK("https://www.google.iq/maps/search/+35.5397,43.2659/@35.5397,43.2659,14z?hl=en","Maplink2")</f>
        <v>Maplink2</v>
      </c>
      <c r="AY1855" s="104" t="str">
        <f>HYPERLINK("http://www.bing.com/maps/?lvl=14&amp;sty=h&amp;cp=35.5397~43.2659&amp;sp=point.35.5397_43.2659","Maplink3")</f>
        <v>Maplink3</v>
      </c>
    </row>
    <row r="1856" spans="1:51" x14ac:dyDescent="0.2">
      <c r="A1856" s="102">
        <v>33128</v>
      </c>
      <c r="B1856" s="103" t="s">
        <v>36</v>
      </c>
      <c r="C1856" s="103" t="s">
        <v>108</v>
      </c>
      <c r="D1856" s="103" t="s">
        <v>3552</v>
      </c>
      <c r="E1856" s="103" t="s">
        <v>3553</v>
      </c>
      <c r="F1856" s="103">
        <v>35.560485</v>
      </c>
      <c r="G1856" s="103">
        <v>43.271077405699998</v>
      </c>
      <c r="H1856" s="102">
        <v>862</v>
      </c>
      <c r="I1856" s="102">
        <v>5172</v>
      </c>
      <c r="J1856" s="103">
        <v>25</v>
      </c>
      <c r="K1856" s="103"/>
      <c r="L1856" s="103"/>
      <c r="M1856" s="103">
        <v>801</v>
      </c>
      <c r="N1856" s="103">
        <v>36</v>
      </c>
      <c r="O1856" s="103"/>
      <c r="P1856" s="103"/>
      <c r="Q1856" s="103"/>
      <c r="R1856" s="103"/>
      <c r="S1856" s="103"/>
      <c r="T1856" s="103"/>
      <c r="U1856" s="103"/>
      <c r="V1856" s="103"/>
      <c r="W1856" s="103"/>
      <c r="X1856" s="103"/>
      <c r="Y1856" s="103"/>
      <c r="Z1856" s="103"/>
      <c r="AA1856" s="103">
        <v>147</v>
      </c>
      <c r="AB1856" s="103"/>
      <c r="AC1856" s="103">
        <v>84</v>
      </c>
      <c r="AD1856" s="103"/>
      <c r="AE1856" s="103"/>
      <c r="AF1856" s="103"/>
      <c r="AG1856" s="103">
        <v>80</v>
      </c>
      <c r="AH1856" s="103"/>
      <c r="AI1856" s="103">
        <v>551</v>
      </c>
      <c r="AJ1856" s="103"/>
      <c r="AK1856" s="103"/>
      <c r="AL1856" s="103"/>
      <c r="AM1856" s="103"/>
      <c r="AN1856" s="103">
        <v>81</v>
      </c>
      <c r="AO1856" s="103">
        <v>92</v>
      </c>
      <c r="AP1856" s="103">
        <v>109</v>
      </c>
      <c r="AQ1856" s="103">
        <v>241</v>
      </c>
      <c r="AR1856" s="103">
        <v>156</v>
      </c>
      <c r="AS1856" s="103">
        <v>183</v>
      </c>
      <c r="AT1856" s="103"/>
      <c r="AU1856" s="103"/>
      <c r="AV1856" s="103"/>
      <c r="AW1856" s="104" t="str">
        <f>HYPERLINK("http://www.openstreetmap.org/?mlat=35.5605&amp;mlon=43.2711&amp;zoom=12#map=12/35.5605/43.2711","Maplink1")</f>
        <v>Maplink1</v>
      </c>
      <c r="AX1856" s="104" t="str">
        <f>HYPERLINK("https://www.google.iq/maps/search/+35.5605,43.2711/@35.5605,43.2711,14z?hl=en","Maplink2")</f>
        <v>Maplink2</v>
      </c>
      <c r="AY1856" s="104" t="str">
        <f>HYPERLINK("http://www.bing.com/maps/?lvl=14&amp;sty=h&amp;cp=35.5605~43.2711&amp;sp=point.35.5605_43.2711","Maplink3")</f>
        <v>Maplink3</v>
      </c>
    </row>
    <row r="1857" spans="1:51" x14ac:dyDescent="0.2">
      <c r="A1857" s="102">
        <v>23300</v>
      </c>
      <c r="B1857" s="103" t="s">
        <v>36</v>
      </c>
      <c r="C1857" s="103" t="s">
        <v>108</v>
      </c>
      <c r="D1857" s="103" t="s">
        <v>3535</v>
      </c>
      <c r="E1857" s="103" t="s">
        <v>3536</v>
      </c>
      <c r="F1857" s="103">
        <v>35.439460342700002</v>
      </c>
      <c r="G1857" s="103">
        <v>43.219761788699998</v>
      </c>
      <c r="H1857" s="102">
        <v>260</v>
      </c>
      <c r="I1857" s="102">
        <v>1560</v>
      </c>
      <c r="J1857" s="103">
        <v>6</v>
      </c>
      <c r="K1857" s="103"/>
      <c r="L1857" s="103">
        <v>3</v>
      </c>
      <c r="M1857" s="103">
        <v>242</v>
      </c>
      <c r="N1857" s="103">
        <v>9</v>
      </c>
      <c r="O1857" s="103"/>
      <c r="P1857" s="103"/>
      <c r="Q1857" s="103"/>
      <c r="R1857" s="103"/>
      <c r="S1857" s="103"/>
      <c r="T1857" s="103"/>
      <c r="U1857" s="103"/>
      <c r="V1857" s="103"/>
      <c r="W1857" s="103"/>
      <c r="X1857" s="103"/>
      <c r="Y1857" s="103"/>
      <c r="Z1857" s="103"/>
      <c r="AA1857" s="103">
        <v>82</v>
      </c>
      <c r="AB1857" s="103"/>
      <c r="AC1857" s="103">
        <v>53</v>
      </c>
      <c r="AD1857" s="103"/>
      <c r="AE1857" s="103"/>
      <c r="AF1857" s="103"/>
      <c r="AG1857" s="103"/>
      <c r="AH1857" s="103"/>
      <c r="AI1857" s="103">
        <v>125</v>
      </c>
      <c r="AJ1857" s="103"/>
      <c r="AK1857" s="103"/>
      <c r="AL1857" s="103"/>
      <c r="AM1857" s="103"/>
      <c r="AN1857" s="103">
        <v>56</v>
      </c>
      <c r="AO1857" s="103">
        <v>116</v>
      </c>
      <c r="AP1857" s="103">
        <v>26</v>
      </c>
      <c r="AQ1857" s="103">
        <v>24</v>
      </c>
      <c r="AR1857" s="103">
        <v>38</v>
      </c>
      <c r="AS1857" s="103"/>
      <c r="AT1857" s="103"/>
      <c r="AU1857" s="103"/>
      <c r="AV1857" s="103"/>
      <c r="AW1857" s="104" t="str">
        <f>HYPERLINK("http://www.openstreetmap.org/?mlat=35.4395&amp;mlon=43.2198&amp;zoom=12#map=12/35.4395/43.2198","Maplink1")</f>
        <v>Maplink1</v>
      </c>
      <c r="AX1857" s="104" t="str">
        <f>HYPERLINK("https://www.google.iq/maps/search/+35.4395,43.2198/@35.4395,43.2198,14z?hl=en","Maplink2")</f>
        <v>Maplink2</v>
      </c>
      <c r="AY1857" s="104" t="str">
        <f>HYPERLINK("http://www.bing.com/maps/?lvl=14&amp;sty=h&amp;cp=35.4395~43.2198&amp;sp=point.35.4395_43.2198","Maplink3")</f>
        <v>Maplink3</v>
      </c>
    </row>
    <row r="1858" spans="1:51" x14ac:dyDescent="0.2">
      <c r="A1858" s="102">
        <v>21002</v>
      </c>
      <c r="B1858" s="103" t="s">
        <v>36</v>
      </c>
      <c r="C1858" s="103" t="s">
        <v>108</v>
      </c>
      <c r="D1858" s="103" t="s">
        <v>3537</v>
      </c>
      <c r="E1858" s="103" t="s">
        <v>3538</v>
      </c>
      <c r="F1858" s="103">
        <v>35.394071457000003</v>
      </c>
      <c r="G1858" s="103">
        <v>43.256221204399999</v>
      </c>
      <c r="H1858" s="102">
        <v>200</v>
      </c>
      <c r="I1858" s="102">
        <v>1200</v>
      </c>
      <c r="J1858" s="103"/>
      <c r="K1858" s="103"/>
      <c r="L1858" s="103"/>
      <c r="M1858" s="103">
        <v>198</v>
      </c>
      <c r="N1858" s="103">
        <v>2</v>
      </c>
      <c r="O1858" s="103"/>
      <c r="P1858" s="103"/>
      <c r="Q1858" s="103"/>
      <c r="R1858" s="103"/>
      <c r="S1858" s="103"/>
      <c r="T1858" s="103"/>
      <c r="U1858" s="103"/>
      <c r="V1858" s="103"/>
      <c r="W1858" s="103"/>
      <c r="X1858" s="103"/>
      <c r="Y1858" s="103"/>
      <c r="Z1858" s="103"/>
      <c r="AA1858" s="103">
        <v>64</v>
      </c>
      <c r="AB1858" s="103"/>
      <c r="AC1858" s="103">
        <v>37</v>
      </c>
      <c r="AD1858" s="103"/>
      <c r="AE1858" s="103"/>
      <c r="AF1858" s="103"/>
      <c r="AG1858" s="103"/>
      <c r="AH1858" s="103"/>
      <c r="AI1858" s="103">
        <v>99</v>
      </c>
      <c r="AJ1858" s="103"/>
      <c r="AK1858" s="103"/>
      <c r="AL1858" s="103"/>
      <c r="AM1858" s="103"/>
      <c r="AN1858" s="103">
        <v>90</v>
      </c>
      <c r="AO1858" s="103">
        <v>55</v>
      </c>
      <c r="AP1858" s="103">
        <v>22</v>
      </c>
      <c r="AQ1858" s="103">
        <v>15</v>
      </c>
      <c r="AR1858" s="103">
        <v>18</v>
      </c>
      <c r="AS1858" s="103"/>
      <c r="AT1858" s="103"/>
      <c r="AU1858" s="103"/>
      <c r="AV1858" s="103"/>
      <c r="AW1858" s="104" t="str">
        <f>HYPERLINK("http://www.openstreetmap.org/?mlat=35.3941&amp;mlon=43.2562&amp;zoom=12#map=12/35.3941/43.2562","Maplink1")</f>
        <v>Maplink1</v>
      </c>
      <c r="AX1858" s="104" t="str">
        <f>HYPERLINK("https://www.google.iq/maps/search/+35.3941,43.2562/@35.3941,43.2562,14z?hl=en","Maplink2")</f>
        <v>Maplink2</v>
      </c>
      <c r="AY1858" s="104" t="str">
        <f>HYPERLINK("http://www.bing.com/maps/?lvl=14&amp;sty=h&amp;cp=35.3941~43.2562&amp;sp=point.35.3941_43.2562","Maplink3")</f>
        <v>Maplink3</v>
      </c>
    </row>
    <row r="1859" spans="1:51" x14ac:dyDescent="0.2">
      <c r="A1859" s="102">
        <v>24210</v>
      </c>
      <c r="B1859" s="103" t="s">
        <v>36</v>
      </c>
      <c r="C1859" s="103" t="s">
        <v>108</v>
      </c>
      <c r="D1859" s="103" t="s">
        <v>3539</v>
      </c>
      <c r="E1859" s="103" t="s">
        <v>3540</v>
      </c>
      <c r="F1859" s="103">
        <v>35.522968028699999</v>
      </c>
      <c r="G1859" s="103">
        <v>43.235905598800002</v>
      </c>
      <c r="H1859" s="102">
        <v>952</v>
      </c>
      <c r="I1859" s="102">
        <v>5712</v>
      </c>
      <c r="J1859" s="103">
        <v>23</v>
      </c>
      <c r="K1859" s="103"/>
      <c r="L1859" s="103">
        <v>63</v>
      </c>
      <c r="M1859" s="103">
        <v>824</v>
      </c>
      <c r="N1859" s="103">
        <v>36</v>
      </c>
      <c r="O1859" s="103"/>
      <c r="P1859" s="103">
        <v>6</v>
      </c>
      <c r="Q1859" s="103"/>
      <c r="R1859" s="103"/>
      <c r="S1859" s="103"/>
      <c r="T1859" s="103"/>
      <c r="U1859" s="103"/>
      <c r="V1859" s="103"/>
      <c r="W1859" s="103">
        <v>27</v>
      </c>
      <c r="X1859" s="103">
        <v>11</v>
      </c>
      <c r="Y1859" s="103"/>
      <c r="Z1859" s="103"/>
      <c r="AA1859" s="103">
        <v>344</v>
      </c>
      <c r="AB1859" s="103"/>
      <c r="AC1859" s="103">
        <v>151</v>
      </c>
      <c r="AD1859" s="103"/>
      <c r="AE1859" s="103"/>
      <c r="AF1859" s="103"/>
      <c r="AG1859" s="103"/>
      <c r="AH1859" s="103"/>
      <c r="AI1859" s="103">
        <v>410</v>
      </c>
      <c r="AJ1859" s="103">
        <v>9</v>
      </c>
      <c r="AK1859" s="103"/>
      <c r="AL1859" s="103"/>
      <c r="AM1859" s="103"/>
      <c r="AN1859" s="103">
        <v>174</v>
      </c>
      <c r="AO1859" s="103">
        <v>216</v>
      </c>
      <c r="AP1859" s="103">
        <v>192</v>
      </c>
      <c r="AQ1859" s="103">
        <v>177</v>
      </c>
      <c r="AR1859" s="103">
        <v>193</v>
      </c>
      <c r="AS1859" s="103"/>
      <c r="AT1859" s="103"/>
      <c r="AU1859" s="103"/>
      <c r="AV1859" s="103"/>
      <c r="AW1859" s="104" t="str">
        <f>HYPERLINK("http://www.openstreetmap.org/?mlat=35.523&amp;mlon=43.2359&amp;zoom=12#map=12/35.523/43.2359","Maplink1")</f>
        <v>Maplink1</v>
      </c>
      <c r="AX1859" s="104" t="str">
        <f>HYPERLINK("https://www.google.iq/maps/search/+35.523,43.2359/@35.523,43.2359,14z?hl=en","Maplink2")</f>
        <v>Maplink2</v>
      </c>
      <c r="AY1859" s="104" t="str">
        <f>HYPERLINK("http://www.bing.com/maps/?lvl=14&amp;sty=h&amp;cp=35.523~43.2359&amp;sp=point.35.523_43.2359","Maplink3")</f>
        <v>Maplink3</v>
      </c>
    </row>
    <row r="1860" spans="1:51" x14ac:dyDescent="0.2">
      <c r="A1860" s="102">
        <v>33402</v>
      </c>
      <c r="B1860" s="103" t="s">
        <v>36</v>
      </c>
      <c r="C1860" s="103" t="s">
        <v>108</v>
      </c>
      <c r="D1860" s="103" t="s">
        <v>3541</v>
      </c>
      <c r="E1860" s="103" t="s">
        <v>3542</v>
      </c>
      <c r="F1860" s="103">
        <v>35.353167999999997</v>
      </c>
      <c r="G1860" s="103">
        <v>43.332804171399999</v>
      </c>
      <c r="H1860" s="102">
        <v>422</v>
      </c>
      <c r="I1860" s="102">
        <v>2532</v>
      </c>
      <c r="J1860" s="103">
        <v>13</v>
      </c>
      <c r="K1860" s="103"/>
      <c r="L1860" s="103"/>
      <c r="M1860" s="103">
        <v>382</v>
      </c>
      <c r="N1860" s="103">
        <v>27</v>
      </c>
      <c r="O1860" s="103"/>
      <c r="P1860" s="103"/>
      <c r="Q1860" s="103"/>
      <c r="R1860" s="103"/>
      <c r="S1860" s="103"/>
      <c r="T1860" s="103"/>
      <c r="U1860" s="103"/>
      <c r="V1860" s="103"/>
      <c r="W1860" s="103"/>
      <c r="X1860" s="103"/>
      <c r="Y1860" s="103"/>
      <c r="Z1860" s="103"/>
      <c r="AA1860" s="103">
        <v>75</v>
      </c>
      <c r="AB1860" s="103"/>
      <c r="AC1860" s="103">
        <v>71</v>
      </c>
      <c r="AD1860" s="103"/>
      <c r="AE1860" s="103"/>
      <c r="AF1860" s="103"/>
      <c r="AG1860" s="103">
        <v>10</v>
      </c>
      <c r="AH1860" s="103"/>
      <c r="AI1860" s="103">
        <v>266</v>
      </c>
      <c r="AJ1860" s="103"/>
      <c r="AK1860" s="103"/>
      <c r="AL1860" s="103"/>
      <c r="AM1860" s="103"/>
      <c r="AN1860" s="103">
        <v>54</v>
      </c>
      <c r="AO1860" s="103">
        <v>56</v>
      </c>
      <c r="AP1860" s="103">
        <v>63</v>
      </c>
      <c r="AQ1860" s="103">
        <v>70</v>
      </c>
      <c r="AR1860" s="103">
        <v>81</v>
      </c>
      <c r="AS1860" s="103">
        <v>98</v>
      </c>
      <c r="AT1860" s="103"/>
      <c r="AU1860" s="103"/>
      <c r="AV1860" s="103"/>
      <c r="AW1860" s="104" t="str">
        <f>HYPERLINK("http://www.openstreetmap.org/?mlat=35.3532&amp;mlon=43.3328&amp;zoom=12#map=12/35.3532/43.3328","Maplink1")</f>
        <v>Maplink1</v>
      </c>
      <c r="AX1860" s="104" t="str">
        <f>HYPERLINK("https://www.google.iq/maps/search/+35.3532,43.3328/@35.3532,43.3328,14z?hl=en","Maplink2")</f>
        <v>Maplink2</v>
      </c>
      <c r="AY1860" s="104" t="str">
        <f>HYPERLINK("http://www.bing.com/maps/?lvl=14&amp;sty=h&amp;cp=35.3532~43.3328&amp;sp=point.35.3532_43.3328","Maplink3")</f>
        <v>Maplink3</v>
      </c>
    </row>
    <row r="1861" spans="1:51" x14ac:dyDescent="0.2">
      <c r="A1861" s="102">
        <v>33567</v>
      </c>
      <c r="B1861" s="103" t="s">
        <v>36</v>
      </c>
      <c r="C1861" s="103" t="s">
        <v>108</v>
      </c>
      <c r="D1861" s="103" t="s">
        <v>3543</v>
      </c>
      <c r="E1861" s="103" t="s">
        <v>3544</v>
      </c>
      <c r="F1861" s="103">
        <v>35.714261999999998</v>
      </c>
      <c r="G1861" s="103">
        <v>43.335681000000001</v>
      </c>
      <c r="H1861" s="102">
        <v>83</v>
      </c>
      <c r="I1861" s="102">
        <v>498</v>
      </c>
      <c r="J1861" s="103">
        <v>7</v>
      </c>
      <c r="K1861" s="103"/>
      <c r="L1861" s="103"/>
      <c r="M1861" s="103">
        <v>57</v>
      </c>
      <c r="N1861" s="103">
        <v>19</v>
      </c>
      <c r="O1861" s="103"/>
      <c r="P1861" s="103"/>
      <c r="Q1861" s="103"/>
      <c r="R1861" s="103"/>
      <c r="S1861" s="103"/>
      <c r="T1861" s="103"/>
      <c r="U1861" s="103"/>
      <c r="V1861" s="103"/>
      <c r="W1861" s="103"/>
      <c r="X1861" s="103"/>
      <c r="Y1861" s="103"/>
      <c r="Z1861" s="103"/>
      <c r="AA1861" s="103"/>
      <c r="AB1861" s="103"/>
      <c r="AC1861" s="103"/>
      <c r="AD1861" s="103"/>
      <c r="AE1861" s="103"/>
      <c r="AF1861" s="103"/>
      <c r="AG1861" s="103">
        <v>83</v>
      </c>
      <c r="AH1861" s="103"/>
      <c r="AI1861" s="103"/>
      <c r="AJ1861" s="103"/>
      <c r="AK1861" s="103"/>
      <c r="AL1861" s="103"/>
      <c r="AM1861" s="103"/>
      <c r="AN1861" s="103">
        <v>12</v>
      </c>
      <c r="AO1861" s="103">
        <v>15</v>
      </c>
      <c r="AP1861" s="103">
        <v>12</v>
      </c>
      <c r="AQ1861" s="103">
        <v>14</v>
      </c>
      <c r="AR1861" s="103">
        <v>13</v>
      </c>
      <c r="AS1861" s="103">
        <v>17</v>
      </c>
      <c r="AT1861" s="103"/>
      <c r="AU1861" s="103"/>
      <c r="AV1861" s="103"/>
      <c r="AW1861" s="104" t="str">
        <f>HYPERLINK("http://www.openstreetmap.org/?mlat=35.7143&amp;mlon=43.3357&amp;zoom=12#map=12/35.7143/43.3357","Maplink1")</f>
        <v>Maplink1</v>
      </c>
      <c r="AX1861" s="104" t="str">
        <f>HYPERLINK("https://www.google.iq/maps/search/+35.7143,43.3357/@35.7143,43.3357,14z?hl=en","Maplink2")</f>
        <v>Maplink2</v>
      </c>
      <c r="AY1861" s="104" t="str">
        <f>HYPERLINK("http://www.bing.com/maps/?lvl=14&amp;sty=h&amp;cp=35.7143~43.3357&amp;sp=point.35.7143_43.3357","Maplink3")</f>
        <v>Maplink3</v>
      </c>
    </row>
    <row r="1862" spans="1:51" x14ac:dyDescent="0.2">
      <c r="A1862" s="102">
        <v>22305</v>
      </c>
      <c r="B1862" s="103" t="s">
        <v>36</v>
      </c>
      <c r="C1862" s="103" t="s">
        <v>108</v>
      </c>
      <c r="D1862" s="103" t="s">
        <v>3559</v>
      </c>
      <c r="E1862" s="103" t="s">
        <v>3560</v>
      </c>
      <c r="F1862" s="103">
        <v>35.303396154200001</v>
      </c>
      <c r="G1862" s="103">
        <v>43.195434249900003</v>
      </c>
      <c r="H1862" s="102">
        <v>260</v>
      </c>
      <c r="I1862" s="102">
        <v>1560</v>
      </c>
      <c r="J1862" s="103">
        <v>3</v>
      </c>
      <c r="K1862" s="103"/>
      <c r="L1862" s="103"/>
      <c r="M1862" s="103">
        <v>249</v>
      </c>
      <c r="N1862" s="103">
        <v>8</v>
      </c>
      <c r="O1862" s="103"/>
      <c r="P1862" s="103"/>
      <c r="Q1862" s="103"/>
      <c r="R1862" s="103"/>
      <c r="S1862" s="103"/>
      <c r="T1862" s="103"/>
      <c r="U1862" s="103"/>
      <c r="V1862" s="103"/>
      <c r="W1862" s="103"/>
      <c r="X1862" s="103"/>
      <c r="Y1862" s="103"/>
      <c r="Z1862" s="103"/>
      <c r="AA1862" s="103">
        <v>28</v>
      </c>
      <c r="AB1862" s="103"/>
      <c r="AC1862" s="103"/>
      <c r="AD1862" s="103"/>
      <c r="AE1862" s="103"/>
      <c r="AF1862" s="103"/>
      <c r="AG1862" s="103">
        <v>14</v>
      </c>
      <c r="AH1862" s="103"/>
      <c r="AI1862" s="103">
        <v>218</v>
      </c>
      <c r="AJ1862" s="103"/>
      <c r="AK1862" s="103"/>
      <c r="AL1862" s="103"/>
      <c r="AM1862" s="103"/>
      <c r="AN1862" s="103">
        <v>32</v>
      </c>
      <c r="AO1862" s="103">
        <v>23</v>
      </c>
      <c r="AP1862" s="103">
        <v>15</v>
      </c>
      <c r="AQ1862" s="103">
        <v>24</v>
      </c>
      <c r="AR1862" s="103">
        <v>54</v>
      </c>
      <c r="AS1862" s="103">
        <v>112</v>
      </c>
      <c r="AT1862" s="103"/>
      <c r="AU1862" s="103"/>
      <c r="AV1862" s="103"/>
      <c r="AW1862" s="104" t="str">
        <f>HYPERLINK("http://www.openstreetmap.org/?mlat=35.3034&amp;mlon=43.1954&amp;zoom=12#map=12/35.3034/43.1954","Maplink1")</f>
        <v>Maplink1</v>
      </c>
      <c r="AX1862" s="104" t="str">
        <f>HYPERLINK("https://www.google.iq/maps/search/+35.3034,43.1954/@35.3034,43.1954,14z?hl=en","Maplink2")</f>
        <v>Maplink2</v>
      </c>
      <c r="AY1862" s="104" t="str">
        <f>HYPERLINK("http://www.bing.com/maps/?lvl=14&amp;sty=h&amp;cp=35.3034~43.1954&amp;sp=point.35.3034_43.1954","Maplink3")</f>
        <v>Maplink3</v>
      </c>
    </row>
    <row r="1863" spans="1:51" x14ac:dyDescent="0.2">
      <c r="A1863" s="102">
        <v>29664</v>
      </c>
      <c r="B1863" s="103" t="s">
        <v>36</v>
      </c>
      <c r="C1863" s="103" t="s">
        <v>108</v>
      </c>
      <c r="D1863" s="103" t="s">
        <v>3548</v>
      </c>
      <c r="E1863" s="103" t="s">
        <v>3549</v>
      </c>
      <c r="F1863" s="103">
        <v>35.341248999999998</v>
      </c>
      <c r="G1863" s="103">
        <v>43.264836691699998</v>
      </c>
      <c r="H1863" s="102">
        <v>152</v>
      </c>
      <c r="I1863" s="102">
        <v>912</v>
      </c>
      <c r="J1863" s="103">
        <v>2</v>
      </c>
      <c r="K1863" s="103"/>
      <c r="L1863" s="103">
        <v>9</v>
      </c>
      <c r="M1863" s="103">
        <v>139</v>
      </c>
      <c r="N1863" s="103">
        <v>2</v>
      </c>
      <c r="O1863" s="103"/>
      <c r="P1863" s="103"/>
      <c r="Q1863" s="103"/>
      <c r="R1863" s="103"/>
      <c r="S1863" s="103"/>
      <c r="T1863" s="103"/>
      <c r="U1863" s="103"/>
      <c r="V1863" s="103"/>
      <c r="W1863" s="103"/>
      <c r="X1863" s="103"/>
      <c r="Y1863" s="103"/>
      <c r="Z1863" s="103"/>
      <c r="AA1863" s="103">
        <v>27</v>
      </c>
      <c r="AB1863" s="103"/>
      <c r="AC1863" s="103"/>
      <c r="AD1863" s="103">
        <v>30</v>
      </c>
      <c r="AE1863" s="103"/>
      <c r="AF1863" s="103"/>
      <c r="AG1863" s="103"/>
      <c r="AH1863" s="103"/>
      <c r="AI1863" s="103">
        <v>69</v>
      </c>
      <c r="AJ1863" s="103">
        <v>26</v>
      </c>
      <c r="AK1863" s="103"/>
      <c r="AL1863" s="103"/>
      <c r="AM1863" s="103"/>
      <c r="AN1863" s="103"/>
      <c r="AO1863" s="103">
        <v>20</v>
      </c>
      <c r="AP1863" s="103">
        <v>19</v>
      </c>
      <c r="AQ1863" s="103">
        <v>25</v>
      </c>
      <c r="AR1863" s="103">
        <v>23</v>
      </c>
      <c r="AS1863" s="103">
        <v>65</v>
      </c>
      <c r="AT1863" s="103"/>
      <c r="AU1863" s="103"/>
      <c r="AV1863" s="103"/>
      <c r="AW1863" s="104" t="str">
        <f>HYPERLINK("http://www.openstreetmap.org/?mlat=35.3412&amp;mlon=43.2648&amp;zoom=12#map=12/35.3412/43.2648","Maplink1")</f>
        <v>Maplink1</v>
      </c>
      <c r="AX1863" s="104" t="str">
        <f>HYPERLINK("https://www.google.iq/maps/search/+35.3412,43.2648/@35.3412,43.2648,14z?hl=en","Maplink2")</f>
        <v>Maplink2</v>
      </c>
      <c r="AY1863" s="104" t="str">
        <f>HYPERLINK("http://www.bing.com/maps/?lvl=14&amp;sty=h&amp;cp=35.3412~43.2648&amp;sp=point.35.3412_43.2648","Maplink3")</f>
        <v>Maplink3</v>
      </c>
    </row>
    <row r="1864" spans="1:51" x14ac:dyDescent="0.2">
      <c r="A1864" s="102">
        <v>33133</v>
      </c>
      <c r="B1864" s="103" t="s">
        <v>36</v>
      </c>
      <c r="C1864" s="103" t="s">
        <v>108</v>
      </c>
      <c r="D1864" s="103" t="s">
        <v>3550</v>
      </c>
      <c r="E1864" s="103" t="s">
        <v>3551</v>
      </c>
      <c r="F1864" s="103">
        <v>35.459926000000003</v>
      </c>
      <c r="G1864" s="103">
        <v>43.311450770100002</v>
      </c>
      <c r="H1864" s="102">
        <v>149</v>
      </c>
      <c r="I1864" s="102">
        <v>894</v>
      </c>
      <c r="J1864" s="103">
        <v>3</v>
      </c>
      <c r="K1864" s="103"/>
      <c r="L1864" s="103"/>
      <c r="M1864" s="103">
        <v>137</v>
      </c>
      <c r="N1864" s="103">
        <v>9</v>
      </c>
      <c r="O1864" s="103"/>
      <c r="P1864" s="103"/>
      <c r="Q1864" s="103"/>
      <c r="R1864" s="103"/>
      <c r="S1864" s="103"/>
      <c r="T1864" s="103"/>
      <c r="U1864" s="103"/>
      <c r="V1864" s="103"/>
      <c r="W1864" s="103"/>
      <c r="X1864" s="103"/>
      <c r="Y1864" s="103"/>
      <c r="Z1864" s="103"/>
      <c r="AA1864" s="103">
        <v>13</v>
      </c>
      <c r="AB1864" s="103"/>
      <c r="AC1864" s="103">
        <v>17</v>
      </c>
      <c r="AD1864" s="103"/>
      <c r="AE1864" s="103"/>
      <c r="AF1864" s="103"/>
      <c r="AG1864" s="103">
        <v>10</v>
      </c>
      <c r="AH1864" s="103"/>
      <c r="AI1864" s="103">
        <v>109</v>
      </c>
      <c r="AJ1864" s="103"/>
      <c r="AK1864" s="103"/>
      <c r="AL1864" s="103"/>
      <c r="AM1864" s="103"/>
      <c r="AN1864" s="103">
        <v>15</v>
      </c>
      <c r="AO1864" s="103">
        <v>19</v>
      </c>
      <c r="AP1864" s="103">
        <v>29</v>
      </c>
      <c r="AQ1864" s="103">
        <v>18</v>
      </c>
      <c r="AR1864" s="103">
        <v>20</v>
      </c>
      <c r="AS1864" s="103">
        <v>48</v>
      </c>
      <c r="AT1864" s="103"/>
      <c r="AU1864" s="103"/>
      <c r="AV1864" s="103"/>
      <c r="AW1864" s="104" t="str">
        <f>HYPERLINK("http://www.openstreetmap.org/?mlat=35.4599&amp;mlon=43.3115&amp;zoom=12#map=12/35.4599/43.3115","Maplink1")</f>
        <v>Maplink1</v>
      </c>
      <c r="AX1864" s="104" t="str">
        <f>HYPERLINK("https://www.google.iq/maps/search/+35.4599,43.3115/@35.4599,43.3115,14z?hl=en","Maplink2")</f>
        <v>Maplink2</v>
      </c>
      <c r="AY1864" s="104" t="str">
        <f>HYPERLINK("http://www.bing.com/maps/?lvl=14&amp;sty=h&amp;cp=35.4599~43.3115&amp;sp=point.35.4599_43.3115","Maplink3")</f>
        <v>Maplink3</v>
      </c>
    </row>
    <row r="1865" spans="1:51" x14ac:dyDescent="0.2">
      <c r="A1865" s="102">
        <v>21349</v>
      </c>
      <c r="B1865" s="103" t="s">
        <v>36</v>
      </c>
      <c r="C1865" s="103" t="s">
        <v>108</v>
      </c>
      <c r="D1865" s="103" t="s">
        <v>3563</v>
      </c>
      <c r="E1865" s="103" t="s">
        <v>3564</v>
      </c>
      <c r="F1865" s="103">
        <v>35.622535315299999</v>
      </c>
      <c r="G1865" s="103">
        <v>43.240831186599998</v>
      </c>
      <c r="H1865" s="102">
        <v>445</v>
      </c>
      <c r="I1865" s="102">
        <v>2670</v>
      </c>
      <c r="J1865" s="103">
        <v>19</v>
      </c>
      <c r="K1865" s="103"/>
      <c r="L1865" s="103">
        <v>6</v>
      </c>
      <c r="M1865" s="103">
        <v>402</v>
      </c>
      <c r="N1865" s="103">
        <v>18</v>
      </c>
      <c r="O1865" s="103"/>
      <c r="P1865" s="103"/>
      <c r="Q1865" s="103"/>
      <c r="R1865" s="103"/>
      <c r="S1865" s="103"/>
      <c r="T1865" s="103"/>
      <c r="U1865" s="103"/>
      <c r="V1865" s="103"/>
      <c r="W1865" s="103"/>
      <c r="X1865" s="103">
        <v>16</v>
      </c>
      <c r="Y1865" s="103"/>
      <c r="Z1865" s="103"/>
      <c r="AA1865" s="103">
        <v>79</v>
      </c>
      <c r="AB1865" s="103"/>
      <c r="AC1865" s="103">
        <v>91</v>
      </c>
      <c r="AD1865" s="103"/>
      <c r="AE1865" s="103"/>
      <c r="AF1865" s="103"/>
      <c r="AG1865" s="103">
        <v>57</v>
      </c>
      <c r="AH1865" s="103"/>
      <c r="AI1865" s="103">
        <v>193</v>
      </c>
      <c r="AJ1865" s="103">
        <v>9</v>
      </c>
      <c r="AK1865" s="103"/>
      <c r="AL1865" s="103"/>
      <c r="AM1865" s="103"/>
      <c r="AN1865" s="103">
        <v>253</v>
      </c>
      <c r="AO1865" s="103">
        <v>35</v>
      </c>
      <c r="AP1865" s="103">
        <v>38</v>
      </c>
      <c r="AQ1865" s="103">
        <v>46</v>
      </c>
      <c r="AR1865" s="103">
        <v>73</v>
      </c>
      <c r="AS1865" s="103"/>
      <c r="AT1865" s="103"/>
      <c r="AU1865" s="103"/>
      <c r="AV1865" s="103"/>
      <c r="AW1865" s="104" t="str">
        <f>HYPERLINK("http://www.openstreetmap.org/?mlat=35.6225&amp;mlon=43.2408&amp;zoom=12#map=12/35.6225/43.2408","Maplink1")</f>
        <v>Maplink1</v>
      </c>
      <c r="AX1865" s="104" t="str">
        <f>HYPERLINK("https://www.google.iq/maps/search/+35.6225,43.2408/@35.6225,43.2408,14z?hl=en","Maplink2")</f>
        <v>Maplink2</v>
      </c>
      <c r="AY1865" s="104" t="str">
        <f>HYPERLINK("http://www.bing.com/maps/?lvl=14&amp;sty=h&amp;cp=35.6225~43.2408&amp;sp=point.35.6225_43.2408","Maplink3")</f>
        <v>Maplink3</v>
      </c>
    </row>
    <row r="1866" spans="1:51" x14ac:dyDescent="0.2">
      <c r="A1866" s="102">
        <v>33875</v>
      </c>
      <c r="B1866" s="103" t="s">
        <v>36</v>
      </c>
      <c r="C1866" s="103" t="s">
        <v>108</v>
      </c>
      <c r="D1866" s="103" t="s">
        <v>3565</v>
      </c>
      <c r="E1866" s="103" t="s">
        <v>3566</v>
      </c>
      <c r="F1866" s="103">
        <v>35.645433099999998</v>
      </c>
      <c r="G1866" s="103">
        <v>43.269607000000001</v>
      </c>
      <c r="H1866" s="102">
        <v>125</v>
      </c>
      <c r="I1866" s="102">
        <v>750</v>
      </c>
      <c r="J1866" s="103">
        <v>15</v>
      </c>
      <c r="K1866" s="103"/>
      <c r="L1866" s="103"/>
      <c r="M1866" s="103">
        <v>81</v>
      </c>
      <c r="N1866" s="103">
        <v>29</v>
      </c>
      <c r="O1866" s="103"/>
      <c r="P1866" s="103"/>
      <c r="Q1866" s="103"/>
      <c r="R1866" s="103"/>
      <c r="S1866" s="103"/>
      <c r="T1866" s="103"/>
      <c r="U1866" s="103"/>
      <c r="V1866" s="103"/>
      <c r="W1866" s="103"/>
      <c r="X1866" s="103"/>
      <c r="Y1866" s="103"/>
      <c r="Z1866" s="103"/>
      <c r="AA1866" s="103"/>
      <c r="AB1866" s="103"/>
      <c r="AC1866" s="103"/>
      <c r="AD1866" s="103"/>
      <c r="AE1866" s="103"/>
      <c r="AF1866" s="103"/>
      <c r="AG1866" s="103">
        <v>125</v>
      </c>
      <c r="AH1866" s="103"/>
      <c r="AI1866" s="103"/>
      <c r="AJ1866" s="103"/>
      <c r="AK1866" s="103"/>
      <c r="AL1866" s="103"/>
      <c r="AM1866" s="103"/>
      <c r="AN1866" s="103">
        <v>18</v>
      </c>
      <c r="AO1866" s="103">
        <v>18</v>
      </c>
      <c r="AP1866" s="103">
        <v>17</v>
      </c>
      <c r="AQ1866" s="103">
        <v>19</v>
      </c>
      <c r="AR1866" s="103">
        <v>22</v>
      </c>
      <c r="AS1866" s="103">
        <v>31</v>
      </c>
      <c r="AT1866" s="103"/>
      <c r="AU1866" s="103"/>
      <c r="AV1866" s="103"/>
      <c r="AW1866" s="104" t="str">
        <f>HYPERLINK("http://www.openstreetmap.org/?mlat=35.6454&amp;mlon=43.2696&amp;zoom=12#map=12/35.6454/43.2696","Maplink1")</f>
        <v>Maplink1</v>
      </c>
      <c r="AX1866" s="104" t="str">
        <f>HYPERLINK("https://www.google.iq/maps/search/+35.6454,43.2696/@35.6454,43.2696,14z?hl=en","Maplink2")</f>
        <v>Maplink2</v>
      </c>
      <c r="AY1866" s="104" t="str">
        <f>HYPERLINK("http://www.bing.com/maps/?lvl=14&amp;sty=h&amp;cp=35.6454~43.2696&amp;sp=point.35.6454_43.2696","Maplink3")</f>
        <v>Maplink3</v>
      </c>
    </row>
    <row r="1867" spans="1:51" x14ac:dyDescent="0.2">
      <c r="A1867" s="102">
        <v>29655</v>
      </c>
      <c r="B1867" s="103" t="s">
        <v>36</v>
      </c>
      <c r="C1867" s="103" t="s">
        <v>108</v>
      </c>
      <c r="D1867" s="103" t="s">
        <v>3554</v>
      </c>
      <c r="E1867" s="103" t="s">
        <v>3555</v>
      </c>
      <c r="F1867" s="103">
        <v>35.526890256400002</v>
      </c>
      <c r="G1867" s="103">
        <v>43.228227021199999</v>
      </c>
      <c r="H1867" s="102">
        <v>459</v>
      </c>
      <c r="I1867" s="102">
        <v>2754</v>
      </c>
      <c r="J1867" s="103">
        <v>6</v>
      </c>
      <c r="K1867" s="103"/>
      <c r="L1867" s="103">
        <v>13</v>
      </c>
      <c r="M1867" s="103">
        <v>425</v>
      </c>
      <c r="N1867" s="103">
        <v>9</v>
      </c>
      <c r="O1867" s="103"/>
      <c r="P1867" s="103">
        <v>6</v>
      </c>
      <c r="Q1867" s="103"/>
      <c r="R1867" s="103"/>
      <c r="S1867" s="103"/>
      <c r="T1867" s="103"/>
      <c r="U1867" s="103"/>
      <c r="V1867" s="103"/>
      <c r="W1867" s="103">
        <v>14</v>
      </c>
      <c r="X1867" s="103">
        <v>16</v>
      </c>
      <c r="Y1867" s="103"/>
      <c r="Z1867" s="103"/>
      <c r="AA1867" s="103">
        <v>91</v>
      </c>
      <c r="AB1867" s="103"/>
      <c r="AC1867" s="103">
        <v>109</v>
      </c>
      <c r="AD1867" s="103"/>
      <c r="AE1867" s="103"/>
      <c r="AF1867" s="103"/>
      <c r="AG1867" s="103"/>
      <c r="AH1867" s="103"/>
      <c r="AI1867" s="103">
        <v>221</v>
      </c>
      <c r="AJ1867" s="103">
        <v>8</v>
      </c>
      <c r="AK1867" s="103"/>
      <c r="AL1867" s="103"/>
      <c r="AM1867" s="103"/>
      <c r="AN1867" s="103">
        <v>157</v>
      </c>
      <c r="AO1867" s="103">
        <v>28</v>
      </c>
      <c r="AP1867" s="103">
        <v>30</v>
      </c>
      <c r="AQ1867" s="103">
        <v>35</v>
      </c>
      <c r="AR1867" s="103">
        <v>172</v>
      </c>
      <c r="AS1867" s="103">
        <v>37</v>
      </c>
      <c r="AT1867" s="103"/>
      <c r="AU1867" s="103"/>
      <c r="AV1867" s="103"/>
      <c r="AW1867" s="104" t="str">
        <f>HYPERLINK("http://www.openstreetmap.org/?mlat=35.5269&amp;mlon=43.2282&amp;zoom=12#map=12/35.5269/43.2282","Maplink1")</f>
        <v>Maplink1</v>
      </c>
      <c r="AX1867" s="104" t="str">
        <f>HYPERLINK("https://www.google.iq/maps/search/+35.5269,43.2282/@35.5269,43.2282,14z?hl=en","Maplink2")</f>
        <v>Maplink2</v>
      </c>
      <c r="AY1867" s="104" t="str">
        <f>HYPERLINK("http://www.bing.com/maps/?lvl=14&amp;sty=h&amp;cp=35.5269~43.2282&amp;sp=point.35.5269_43.2282","Maplink3")</f>
        <v>Maplink3</v>
      </c>
    </row>
    <row r="1868" spans="1:51" x14ac:dyDescent="0.2">
      <c r="A1868" s="102">
        <v>33568</v>
      </c>
      <c r="B1868" s="103" t="s">
        <v>36</v>
      </c>
      <c r="C1868" s="103" t="s">
        <v>108</v>
      </c>
      <c r="D1868" s="103" t="s">
        <v>3531</v>
      </c>
      <c r="E1868" s="103" t="s">
        <v>3532</v>
      </c>
      <c r="F1868" s="103">
        <v>35.699458</v>
      </c>
      <c r="G1868" s="103">
        <v>43.278879951699999</v>
      </c>
      <c r="H1868" s="102">
        <v>63</v>
      </c>
      <c r="I1868" s="102">
        <v>378</v>
      </c>
      <c r="J1868" s="103">
        <v>8</v>
      </c>
      <c r="K1868" s="103"/>
      <c r="L1868" s="103"/>
      <c r="M1868" s="103">
        <v>46</v>
      </c>
      <c r="N1868" s="103">
        <v>9</v>
      </c>
      <c r="O1868" s="103"/>
      <c r="P1868" s="103"/>
      <c r="Q1868" s="103"/>
      <c r="R1868" s="103"/>
      <c r="S1868" s="103"/>
      <c r="T1868" s="103"/>
      <c r="U1868" s="103"/>
      <c r="V1868" s="103"/>
      <c r="W1868" s="103"/>
      <c r="X1868" s="103"/>
      <c r="Y1868" s="103"/>
      <c r="Z1868" s="103"/>
      <c r="AA1868" s="103">
        <v>9</v>
      </c>
      <c r="AB1868" s="103"/>
      <c r="AC1868" s="103">
        <v>11</v>
      </c>
      <c r="AD1868" s="103"/>
      <c r="AE1868" s="103"/>
      <c r="AF1868" s="103"/>
      <c r="AG1868" s="103">
        <v>27</v>
      </c>
      <c r="AH1868" s="103"/>
      <c r="AI1868" s="103">
        <v>16</v>
      </c>
      <c r="AJ1868" s="103"/>
      <c r="AK1868" s="103"/>
      <c r="AL1868" s="103"/>
      <c r="AM1868" s="103"/>
      <c r="AN1868" s="103">
        <v>9</v>
      </c>
      <c r="AO1868" s="103">
        <v>9</v>
      </c>
      <c r="AP1868" s="103">
        <v>13</v>
      </c>
      <c r="AQ1868" s="103">
        <v>9</v>
      </c>
      <c r="AR1868" s="103">
        <v>11</v>
      </c>
      <c r="AS1868" s="103">
        <v>12</v>
      </c>
      <c r="AT1868" s="103"/>
      <c r="AU1868" s="103"/>
      <c r="AV1868" s="103"/>
      <c r="AW1868" s="104" t="str">
        <f>HYPERLINK("http://www.openstreetmap.org/?mlat=35.6995&amp;mlon=43.2789&amp;zoom=12#map=12/35.6995/43.2789","Maplink1")</f>
        <v>Maplink1</v>
      </c>
      <c r="AX1868" s="104" t="str">
        <f>HYPERLINK("https://www.google.iq/maps/search/+35.6995,43.2789/@35.6995,43.2789,14z?hl=en","Maplink2")</f>
        <v>Maplink2</v>
      </c>
      <c r="AY1868" s="104" t="str">
        <f>HYPERLINK("http://www.bing.com/maps/?lvl=14&amp;sty=h&amp;cp=35.6995~43.2789&amp;sp=point.35.6995_43.2789","Maplink3")</f>
        <v>Maplink3</v>
      </c>
    </row>
    <row r="1869" spans="1:51" x14ac:dyDescent="0.2">
      <c r="A1869" s="102">
        <v>29651</v>
      </c>
      <c r="B1869" s="103" t="s">
        <v>36</v>
      </c>
      <c r="C1869" s="103" t="s">
        <v>108</v>
      </c>
      <c r="D1869" s="103" t="s">
        <v>3501</v>
      </c>
      <c r="E1869" s="103" t="s">
        <v>1166</v>
      </c>
      <c r="F1869" s="103">
        <v>35.459866588899999</v>
      </c>
      <c r="G1869" s="103">
        <v>43.251171364100003</v>
      </c>
      <c r="H1869" s="102">
        <v>175</v>
      </c>
      <c r="I1869" s="102">
        <v>1050</v>
      </c>
      <c r="J1869" s="103">
        <v>2</v>
      </c>
      <c r="K1869" s="103"/>
      <c r="L1869" s="103"/>
      <c r="M1869" s="103">
        <v>166</v>
      </c>
      <c r="N1869" s="103">
        <v>7</v>
      </c>
      <c r="O1869" s="103"/>
      <c r="P1869" s="103"/>
      <c r="Q1869" s="103"/>
      <c r="R1869" s="103"/>
      <c r="S1869" s="103"/>
      <c r="T1869" s="103"/>
      <c r="U1869" s="103"/>
      <c r="V1869" s="103"/>
      <c r="W1869" s="103"/>
      <c r="X1869" s="103">
        <v>6</v>
      </c>
      <c r="Y1869" s="103"/>
      <c r="Z1869" s="103"/>
      <c r="AA1869" s="103">
        <v>64</v>
      </c>
      <c r="AB1869" s="103"/>
      <c r="AC1869" s="103">
        <v>37</v>
      </c>
      <c r="AD1869" s="103"/>
      <c r="AE1869" s="103"/>
      <c r="AF1869" s="103"/>
      <c r="AG1869" s="103">
        <v>16</v>
      </c>
      <c r="AH1869" s="103"/>
      <c r="AI1869" s="103">
        <v>52</v>
      </c>
      <c r="AJ1869" s="103"/>
      <c r="AK1869" s="103"/>
      <c r="AL1869" s="103"/>
      <c r="AM1869" s="103"/>
      <c r="AN1869" s="103">
        <v>42</v>
      </c>
      <c r="AO1869" s="103">
        <v>39</v>
      </c>
      <c r="AP1869" s="103">
        <v>28</v>
      </c>
      <c r="AQ1869" s="103">
        <v>30</v>
      </c>
      <c r="AR1869" s="103">
        <v>36</v>
      </c>
      <c r="AS1869" s="103"/>
      <c r="AT1869" s="103"/>
      <c r="AU1869" s="103"/>
      <c r="AV1869" s="103"/>
      <c r="AW1869" s="104" t="str">
        <f>HYPERLINK("http://www.openstreetmap.org/?mlat=35.4599&amp;mlon=43.2512&amp;zoom=12#map=12/35.4599/43.2512","Maplink1")</f>
        <v>Maplink1</v>
      </c>
      <c r="AX1869" s="104" t="str">
        <f>HYPERLINK("https://www.google.iq/maps/search/+35.4599,43.2512/@35.4599,43.2512,14z?hl=en","Maplink2")</f>
        <v>Maplink2</v>
      </c>
      <c r="AY1869" s="104" t="str">
        <f>HYPERLINK("http://www.bing.com/maps/?lvl=14&amp;sty=h&amp;cp=35.4599~43.2512&amp;sp=point.35.4599_43.2512","Maplink3")</f>
        <v>Maplink3</v>
      </c>
    </row>
    <row r="1870" spans="1:51" x14ac:dyDescent="0.2">
      <c r="A1870" s="102">
        <v>23559</v>
      </c>
      <c r="B1870" s="103" t="s">
        <v>36</v>
      </c>
      <c r="C1870" s="103" t="s">
        <v>108</v>
      </c>
      <c r="D1870" s="103" t="s">
        <v>3533</v>
      </c>
      <c r="E1870" s="103" t="s">
        <v>3534</v>
      </c>
      <c r="F1870" s="103">
        <v>35.289743000000001</v>
      </c>
      <c r="G1870" s="103">
        <v>43.200397000000002</v>
      </c>
      <c r="H1870" s="102">
        <v>22</v>
      </c>
      <c r="I1870" s="102">
        <v>132</v>
      </c>
      <c r="J1870" s="103"/>
      <c r="K1870" s="103"/>
      <c r="L1870" s="103"/>
      <c r="M1870" s="103">
        <v>22</v>
      </c>
      <c r="N1870" s="103"/>
      <c r="O1870" s="103"/>
      <c r="P1870" s="103"/>
      <c r="Q1870" s="103"/>
      <c r="R1870" s="103"/>
      <c r="S1870" s="103"/>
      <c r="T1870" s="103"/>
      <c r="U1870" s="103"/>
      <c r="V1870" s="103"/>
      <c r="W1870" s="103"/>
      <c r="X1870" s="103"/>
      <c r="Y1870" s="103"/>
      <c r="Z1870" s="103"/>
      <c r="AA1870" s="103"/>
      <c r="AB1870" s="103"/>
      <c r="AC1870" s="103"/>
      <c r="AD1870" s="103"/>
      <c r="AE1870" s="103"/>
      <c r="AF1870" s="103"/>
      <c r="AG1870" s="103"/>
      <c r="AH1870" s="103"/>
      <c r="AI1870" s="103">
        <v>22</v>
      </c>
      <c r="AJ1870" s="103"/>
      <c r="AK1870" s="103"/>
      <c r="AL1870" s="103"/>
      <c r="AM1870" s="103"/>
      <c r="AN1870" s="103">
        <v>4</v>
      </c>
      <c r="AO1870" s="103">
        <v>3</v>
      </c>
      <c r="AP1870" s="103">
        <v>4</v>
      </c>
      <c r="AQ1870" s="103">
        <v>3</v>
      </c>
      <c r="AR1870" s="103">
        <v>4</v>
      </c>
      <c r="AS1870" s="103">
        <v>4</v>
      </c>
      <c r="AT1870" s="103"/>
      <c r="AU1870" s="103"/>
      <c r="AV1870" s="103"/>
      <c r="AW1870" s="104" t="str">
        <f>HYPERLINK("http://www.openstreetmap.org/?mlat=35.2897&amp;mlon=43.2004&amp;zoom=12#map=12/35.2897/43.2004","Maplink1")</f>
        <v>Maplink1</v>
      </c>
      <c r="AX1870" s="104" t="str">
        <f>HYPERLINK("https://www.google.iq/maps/search/+35.2897,43.2004/@35.2897,43.2004,14z?hl=en","Maplink2")</f>
        <v>Maplink2</v>
      </c>
      <c r="AY1870" s="104" t="str">
        <f>HYPERLINK("http://www.bing.com/maps/?lvl=14&amp;sty=h&amp;cp=35.2897~43.2004&amp;sp=point.35.2897_43.2004","Maplink3")</f>
        <v>Maplink3</v>
      </c>
    </row>
    <row r="1871" spans="1:51" x14ac:dyDescent="0.2">
      <c r="A1871" s="102">
        <v>21006</v>
      </c>
      <c r="B1871" s="103" t="s">
        <v>36</v>
      </c>
      <c r="C1871" s="103" t="s">
        <v>108</v>
      </c>
      <c r="D1871" s="103" t="s">
        <v>3504</v>
      </c>
      <c r="E1871" s="103" t="s">
        <v>3505</v>
      </c>
      <c r="F1871" s="103">
        <v>35.510917827500002</v>
      </c>
      <c r="G1871" s="103">
        <v>43.233718037400003</v>
      </c>
      <c r="H1871" s="102">
        <v>1229</v>
      </c>
      <c r="I1871" s="102">
        <v>7374</v>
      </c>
      <c r="J1871" s="103">
        <v>26</v>
      </c>
      <c r="K1871" s="103"/>
      <c r="L1871" s="103">
        <v>25</v>
      </c>
      <c r="M1871" s="103">
        <v>1156</v>
      </c>
      <c r="N1871" s="103">
        <v>22</v>
      </c>
      <c r="O1871" s="103"/>
      <c r="P1871" s="103"/>
      <c r="Q1871" s="103"/>
      <c r="R1871" s="103"/>
      <c r="S1871" s="103"/>
      <c r="T1871" s="103"/>
      <c r="U1871" s="103"/>
      <c r="V1871" s="103"/>
      <c r="W1871" s="103">
        <v>10</v>
      </c>
      <c r="X1871" s="103">
        <v>18</v>
      </c>
      <c r="Y1871" s="103"/>
      <c r="Z1871" s="103"/>
      <c r="AA1871" s="103">
        <v>285</v>
      </c>
      <c r="AB1871" s="103"/>
      <c r="AC1871" s="103">
        <v>264</v>
      </c>
      <c r="AD1871" s="103"/>
      <c r="AE1871" s="103"/>
      <c r="AF1871" s="103"/>
      <c r="AG1871" s="103"/>
      <c r="AH1871" s="103"/>
      <c r="AI1871" s="103">
        <v>635</v>
      </c>
      <c r="AJ1871" s="103">
        <v>17</v>
      </c>
      <c r="AK1871" s="103"/>
      <c r="AL1871" s="103"/>
      <c r="AM1871" s="103"/>
      <c r="AN1871" s="103">
        <v>574</v>
      </c>
      <c r="AO1871" s="103">
        <v>353</v>
      </c>
      <c r="AP1871" s="103">
        <v>81</v>
      </c>
      <c r="AQ1871" s="103">
        <v>136</v>
      </c>
      <c r="AR1871" s="103">
        <v>85</v>
      </c>
      <c r="AS1871" s="103"/>
      <c r="AT1871" s="103"/>
      <c r="AU1871" s="103"/>
      <c r="AV1871" s="103"/>
      <c r="AW1871" s="104" t="str">
        <f>HYPERLINK("http://www.openstreetmap.org/?mlat=35.5109&amp;mlon=43.2337&amp;zoom=12#map=12/35.5109/43.2337","Maplink1")</f>
        <v>Maplink1</v>
      </c>
      <c r="AX1871" s="104" t="str">
        <f>HYPERLINK("https://www.google.iq/maps/search/+35.5109,43.2337/@35.5109,43.2337,14z?hl=en","Maplink2")</f>
        <v>Maplink2</v>
      </c>
      <c r="AY1871" s="104" t="str">
        <f>HYPERLINK("http://www.bing.com/maps/?lvl=14&amp;sty=h&amp;cp=35.5109~43.2337&amp;sp=point.35.5109_43.2337","Maplink3")</f>
        <v>Maplink3</v>
      </c>
    </row>
    <row r="1872" spans="1:51" x14ac:dyDescent="0.2">
      <c r="A1872" s="102">
        <v>29652</v>
      </c>
      <c r="B1872" s="103" t="s">
        <v>36</v>
      </c>
      <c r="C1872" s="103" t="s">
        <v>108</v>
      </c>
      <c r="D1872" s="103" t="s">
        <v>3506</v>
      </c>
      <c r="E1872" s="103" t="s">
        <v>1235</v>
      </c>
      <c r="F1872" s="103">
        <v>35.495645358300003</v>
      </c>
      <c r="G1872" s="103">
        <v>43.240897997899999</v>
      </c>
      <c r="H1872" s="102">
        <v>395</v>
      </c>
      <c r="I1872" s="102">
        <v>2370</v>
      </c>
      <c r="J1872" s="103">
        <v>3</v>
      </c>
      <c r="K1872" s="103"/>
      <c r="L1872" s="103"/>
      <c r="M1872" s="103">
        <v>382</v>
      </c>
      <c r="N1872" s="103">
        <v>10</v>
      </c>
      <c r="O1872" s="103"/>
      <c r="P1872" s="103"/>
      <c r="Q1872" s="103"/>
      <c r="R1872" s="103"/>
      <c r="S1872" s="103"/>
      <c r="T1872" s="103"/>
      <c r="U1872" s="103"/>
      <c r="V1872" s="103"/>
      <c r="W1872" s="103"/>
      <c r="X1872" s="103"/>
      <c r="Y1872" s="103"/>
      <c r="Z1872" s="103"/>
      <c r="AA1872" s="103">
        <v>184</v>
      </c>
      <c r="AB1872" s="103"/>
      <c r="AC1872" s="103">
        <v>52</v>
      </c>
      <c r="AD1872" s="103"/>
      <c r="AE1872" s="103"/>
      <c r="AF1872" s="103"/>
      <c r="AG1872" s="103"/>
      <c r="AH1872" s="103"/>
      <c r="AI1872" s="103">
        <v>159</v>
      </c>
      <c r="AJ1872" s="103"/>
      <c r="AK1872" s="103"/>
      <c r="AL1872" s="103"/>
      <c r="AM1872" s="103"/>
      <c r="AN1872" s="103">
        <v>163</v>
      </c>
      <c r="AO1872" s="103">
        <v>45</v>
      </c>
      <c r="AP1872" s="103">
        <v>61</v>
      </c>
      <c r="AQ1872" s="103">
        <v>57</v>
      </c>
      <c r="AR1872" s="103">
        <v>69</v>
      </c>
      <c r="AS1872" s="103"/>
      <c r="AT1872" s="103"/>
      <c r="AU1872" s="103"/>
      <c r="AV1872" s="103"/>
      <c r="AW1872" s="104" t="str">
        <f>HYPERLINK("http://www.openstreetmap.org/?mlat=35.4956&amp;mlon=43.2409&amp;zoom=12#map=12/35.4956/43.2409","Maplink1")</f>
        <v>Maplink1</v>
      </c>
      <c r="AX1872" s="104" t="str">
        <f>HYPERLINK("https://www.google.iq/maps/search/+35.4956,43.2409/@35.4956,43.2409,14z?hl=en","Maplink2")</f>
        <v>Maplink2</v>
      </c>
      <c r="AY1872" s="104" t="str">
        <f>HYPERLINK("http://www.bing.com/maps/?lvl=14&amp;sty=h&amp;cp=35.4956~43.2409&amp;sp=point.35.4956_43.2409","Maplink3")</f>
        <v>Maplink3</v>
      </c>
    </row>
    <row r="1873" spans="1:51" x14ac:dyDescent="0.2">
      <c r="A1873" s="102">
        <v>33134</v>
      </c>
      <c r="B1873" s="103" t="s">
        <v>36</v>
      </c>
      <c r="C1873" s="103" t="s">
        <v>108</v>
      </c>
      <c r="D1873" s="103" t="s">
        <v>3507</v>
      </c>
      <c r="E1873" s="103" t="s">
        <v>3508</v>
      </c>
      <c r="F1873" s="103">
        <v>35.446672</v>
      </c>
      <c r="G1873" s="103">
        <v>43.479284999999997</v>
      </c>
      <c r="H1873" s="102">
        <v>14</v>
      </c>
      <c r="I1873" s="102">
        <v>84</v>
      </c>
      <c r="J1873" s="103"/>
      <c r="K1873" s="103"/>
      <c r="L1873" s="103"/>
      <c r="M1873" s="103">
        <v>14</v>
      </c>
      <c r="N1873" s="103"/>
      <c r="O1873" s="103"/>
      <c r="P1873" s="103"/>
      <c r="Q1873" s="103"/>
      <c r="R1873" s="103"/>
      <c r="S1873" s="103"/>
      <c r="T1873" s="103"/>
      <c r="U1873" s="103"/>
      <c r="V1873" s="103"/>
      <c r="W1873" s="103"/>
      <c r="X1873" s="103"/>
      <c r="Y1873" s="103"/>
      <c r="Z1873" s="103"/>
      <c r="AA1873" s="103"/>
      <c r="AB1873" s="103"/>
      <c r="AC1873" s="103">
        <v>1</v>
      </c>
      <c r="AD1873" s="103"/>
      <c r="AE1873" s="103"/>
      <c r="AF1873" s="103"/>
      <c r="AG1873" s="103"/>
      <c r="AH1873" s="103"/>
      <c r="AI1873" s="103">
        <v>13</v>
      </c>
      <c r="AJ1873" s="103"/>
      <c r="AK1873" s="103"/>
      <c r="AL1873" s="103"/>
      <c r="AM1873" s="103"/>
      <c r="AN1873" s="103"/>
      <c r="AO1873" s="103"/>
      <c r="AP1873" s="103"/>
      <c r="AQ1873" s="103"/>
      <c r="AR1873" s="103">
        <v>2</v>
      </c>
      <c r="AS1873" s="103">
        <v>12</v>
      </c>
      <c r="AT1873" s="103"/>
      <c r="AU1873" s="103"/>
      <c r="AV1873" s="103"/>
      <c r="AW1873" s="104" t="str">
        <f>HYPERLINK("http://www.openstreetmap.org/?mlat=35.4467&amp;mlon=43.4793&amp;zoom=12#map=12/35.4467/43.4793","Maplink1")</f>
        <v>Maplink1</v>
      </c>
      <c r="AX1873" s="104" t="str">
        <f>HYPERLINK("https://www.google.iq/maps/search/+35.4467,43.4793/@35.4467,43.4793,14z?hl=en","Maplink2")</f>
        <v>Maplink2</v>
      </c>
      <c r="AY1873" s="104" t="str">
        <f>HYPERLINK("http://www.bing.com/maps/?lvl=14&amp;sty=h&amp;cp=35.4467~43.4793&amp;sp=point.35.4467_43.4793","Maplink3")</f>
        <v>Maplink3</v>
      </c>
    </row>
    <row r="1874" spans="1:51" x14ac:dyDescent="0.2">
      <c r="A1874" s="102">
        <v>29650</v>
      </c>
      <c r="B1874" s="103" t="s">
        <v>36</v>
      </c>
      <c r="C1874" s="103" t="s">
        <v>108</v>
      </c>
      <c r="D1874" s="103" t="s">
        <v>3502</v>
      </c>
      <c r="E1874" s="103" t="s">
        <v>3503</v>
      </c>
      <c r="F1874" s="103">
        <v>35.594491143699997</v>
      </c>
      <c r="G1874" s="103">
        <v>43.240809157400001</v>
      </c>
      <c r="H1874" s="102">
        <v>547</v>
      </c>
      <c r="I1874" s="102">
        <v>3282</v>
      </c>
      <c r="J1874" s="103">
        <v>4</v>
      </c>
      <c r="K1874" s="103"/>
      <c r="L1874" s="103">
        <v>2</v>
      </c>
      <c r="M1874" s="103">
        <v>522</v>
      </c>
      <c r="N1874" s="103">
        <v>19</v>
      </c>
      <c r="O1874" s="103"/>
      <c r="P1874" s="103"/>
      <c r="Q1874" s="103"/>
      <c r="R1874" s="103"/>
      <c r="S1874" s="103"/>
      <c r="T1874" s="103"/>
      <c r="U1874" s="103"/>
      <c r="V1874" s="103"/>
      <c r="W1874" s="103">
        <v>24</v>
      </c>
      <c r="X1874" s="103">
        <v>13</v>
      </c>
      <c r="Y1874" s="103"/>
      <c r="Z1874" s="103"/>
      <c r="AA1874" s="103">
        <v>65</v>
      </c>
      <c r="AB1874" s="103"/>
      <c r="AC1874" s="103">
        <v>105</v>
      </c>
      <c r="AD1874" s="103"/>
      <c r="AE1874" s="103"/>
      <c r="AF1874" s="103"/>
      <c r="AG1874" s="103"/>
      <c r="AH1874" s="103"/>
      <c r="AI1874" s="103">
        <v>331</v>
      </c>
      <c r="AJ1874" s="103">
        <v>9</v>
      </c>
      <c r="AK1874" s="103"/>
      <c r="AL1874" s="103"/>
      <c r="AM1874" s="103"/>
      <c r="AN1874" s="103">
        <v>142</v>
      </c>
      <c r="AO1874" s="103">
        <v>119</v>
      </c>
      <c r="AP1874" s="103">
        <v>38</v>
      </c>
      <c r="AQ1874" s="103">
        <v>20</v>
      </c>
      <c r="AR1874" s="103">
        <v>14</v>
      </c>
      <c r="AS1874" s="103"/>
      <c r="AT1874" s="103">
        <v>214</v>
      </c>
      <c r="AU1874" s="103"/>
      <c r="AV1874" s="103"/>
      <c r="AW1874" s="104" t="str">
        <f>HYPERLINK("http://www.openstreetmap.org/?mlat=35.5945&amp;mlon=43.2408&amp;zoom=12#map=12/35.5945/43.2408","Maplink1")</f>
        <v>Maplink1</v>
      </c>
      <c r="AX1874" s="104" t="str">
        <f>HYPERLINK("https://www.google.iq/maps/search/+35.5945,43.2408/@35.5945,43.2408,14z?hl=en","Maplink2")</f>
        <v>Maplink2</v>
      </c>
      <c r="AY1874" s="104" t="str">
        <f>HYPERLINK("http://www.bing.com/maps/?lvl=14&amp;sty=h&amp;cp=35.5945~43.2408&amp;sp=point.35.5945_43.2408","Maplink3")</f>
        <v>Maplink3</v>
      </c>
    </row>
    <row r="1875" spans="1:51" x14ac:dyDescent="0.2">
      <c r="A1875" s="102">
        <v>33127</v>
      </c>
      <c r="B1875" s="103" t="s">
        <v>36</v>
      </c>
      <c r="C1875" s="103" t="s">
        <v>108</v>
      </c>
      <c r="D1875" s="103" t="s">
        <v>3521</v>
      </c>
      <c r="E1875" s="103" t="s">
        <v>3522</v>
      </c>
      <c r="F1875" s="103">
        <v>35.574931999999997</v>
      </c>
      <c r="G1875" s="103">
        <v>43.270886885000003</v>
      </c>
      <c r="H1875" s="102">
        <v>177</v>
      </c>
      <c r="I1875" s="102">
        <v>1062</v>
      </c>
      <c r="J1875" s="103">
        <v>11</v>
      </c>
      <c r="K1875" s="103"/>
      <c r="L1875" s="103">
        <v>18</v>
      </c>
      <c r="M1875" s="103">
        <v>132</v>
      </c>
      <c r="N1875" s="103">
        <v>10</v>
      </c>
      <c r="O1875" s="103"/>
      <c r="P1875" s="103">
        <v>6</v>
      </c>
      <c r="Q1875" s="103"/>
      <c r="R1875" s="103"/>
      <c r="S1875" s="103"/>
      <c r="T1875" s="103"/>
      <c r="U1875" s="103"/>
      <c r="V1875" s="103"/>
      <c r="W1875" s="103"/>
      <c r="X1875" s="103"/>
      <c r="Y1875" s="103"/>
      <c r="Z1875" s="103"/>
      <c r="AA1875" s="103"/>
      <c r="AB1875" s="103"/>
      <c r="AC1875" s="103">
        <v>22</v>
      </c>
      <c r="AD1875" s="103"/>
      <c r="AE1875" s="103"/>
      <c r="AF1875" s="103"/>
      <c r="AG1875" s="103"/>
      <c r="AH1875" s="103"/>
      <c r="AI1875" s="103">
        <v>155</v>
      </c>
      <c r="AJ1875" s="103"/>
      <c r="AK1875" s="103"/>
      <c r="AL1875" s="103"/>
      <c r="AM1875" s="103"/>
      <c r="AN1875" s="103">
        <v>19</v>
      </c>
      <c r="AO1875" s="103">
        <v>36</v>
      </c>
      <c r="AP1875" s="103">
        <v>14</v>
      </c>
      <c r="AQ1875" s="103">
        <v>33</v>
      </c>
      <c r="AR1875" s="103">
        <v>45</v>
      </c>
      <c r="AS1875" s="103">
        <v>30</v>
      </c>
      <c r="AT1875" s="103"/>
      <c r="AU1875" s="103"/>
      <c r="AV1875" s="103"/>
      <c r="AW1875" s="104" t="str">
        <f>HYPERLINK("http://www.openstreetmap.org/?mlat=35.5749&amp;mlon=43.2709&amp;zoom=12#map=12/35.5749/43.2709","Maplink1")</f>
        <v>Maplink1</v>
      </c>
      <c r="AX1875" s="104" t="str">
        <f>HYPERLINK("https://www.google.iq/maps/search/+35.5749,43.2709/@35.5749,43.2709,14z?hl=en","Maplink2")</f>
        <v>Maplink2</v>
      </c>
      <c r="AY1875" s="104" t="str">
        <f>HYPERLINK("http://www.bing.com/maps/?lvl=14&amp;sty=h&amp;cp=35.5749~43.2709&amp;sp=point.35.5749_43.2709","Maplink3")</f>
        <v>Maplink3</v>
      </c>
    </row>
    <row r="1876" spans="1:51" x14ac:dyDescent="0.2">
      <c r="A1876" s="102">
        <v>21005</v>
      </c>
      <c r="B1876" s="103" t="s">
        <v>36</v>
      </c>
      <c r="C1876" s="103" t="s">
        <v>108</v>
      </c>
      <c r="D1876" s="103" t="s">
        <v>3591</v>
      </c>
      <c r="E1876" s="103" t="s">
        <v>3592</v>
      </c>
      <c r="F1876" s="103">
        <v>35.492468420400002</v>
      </c>
      <c r="G1876" s="103">
        <v>43.239948080399998</v>
      </c>
      <c r="H1876" s="102">
        <v>1368</v>
      </c>
      <c r="I1876" s="102">
        <v>8208</v>
      </c>
      <c r="J1876" s="103">
        <v>9</v>
      </c>
      <c r="K1876" s="103"/>
      <c r="L1876" s="103">
        <v>38</v>
      </c>
      <c r="M1876" s="103">
        <v>1296</v>
      </c>
      <c r="N1876" s="103">
        <v>17</v>
      </c>
      <c r="O1876" s="103"/>
      <c r="P1876" s="103">
        <v>8</v>
      </c>
      <c r="Q1876" s="103"/>
      <c r="R1876" s="103"/>
      <c r="S1876" s="103"/>
      <c r="T1876" s="103"/>
      <c r="U1876" s="103"/>
      <c r="V1876" s="103"/>
      <c r="W1876" s="103">
        <v>18</v>
      </c>
      <c r="X1876" s="103"/>
      <c r="Y1876" s="103"/>
      <c r="Z1876" s="103"/>
      <c r="AA1876" s="103">
        <v>342</v>
      </c>
      <c r="AB1876" s="103"/>
      <c r="AC1876" s="103">
        <v>259</v>
      </c>
      <c r="AD1876" s="103"/>
      <c r="AE1876" s="103"/>
      <c r="AF1876" s="103"/>
      <c r="AG1876" s="103"/>
      <c r="AH1876" s="103"/>
      <c r="AI1876" s="103">
        <v>727</v>
      </c>
      <c r="AJ1876" s="103">
        <v>22</v>
      </c>
      <c r="AK1876" s="103"/>
      <c r="AL1876" s="103"/>
      <c r="AM1876" s="103"/>
      <c r="AN1876" s="103">
        <v>457</v>
      </c>
      <c r="AO1876" s="103">
        <v>356</v>
      </c>
      <c r="AP1876" s="103">
        <v>224</v>
      </c>
      <c r="AQ1876" s="103">
        <v>158</v>
      </c>
      <c r="AR1876" s="103">
        <v>173</v>
      </c>
      <c r="AS1876" s="103"/>
      <c r="AT1876" s="103"/>
      <c r="AU1876" s="103"/>
      <c r="AV1876" s="103"/>
      <c r="AW1876" s="104" t="str">
        <f>HYPERLINK("http://www.openstreetmap.org/?mlat=35.4925&amp;mlon=43.2399&amp;zoom=12#map=12/35.4925/43.2399","Maplink1")</f>
        <v>Maplink1</v>
      </c>
      <c r="AX1876" s="104" t="str">
        <f>HYPERLINK("https://www.google.iq/maps/search/+35.4925,43.2399/@35.4925,43.2399,14z?hl=en","Maplink2")</f>
        <v>Maplink2</v>
      </c>
      <c r="AY1876" s="104" t="str">
        <f>HYPERLINK("http://www.bing.com/maps/?lvl=14&amp;sty=h&amp;cp=35.4925~43.2399&amp;sp=point.35.4925_43.2399","Maplink3")</f>
        <v>Maplink3</v>
      </c>
    </row>
    <row r="1877" spans="1:51" x14ac:dyDescent="0.2">
      <c r="A1877" s="102">
        <v>33123</v>
      </c>
      <c r="B1877" s="103" t="s">
        <v>36</v>
      </c>
      <c r="C1877" s="103" t="s">
        <v>108</v>
      </c>
      <c r="D1877" s="103" t="s">
        <v>3593</v>
      </c>
      <c r="E1877" s="103" t="s">
        <v>3594</v>
      </c>
      <c r="F1877" s="103">
        <v>35.430951</v>
      </c>
      <c r="G1877" s="103">
        <v>43.297353833899997</v>
      </c>
      <c r="H1877" s="102">
        <v>1126</v>
      </c>
      <c r="I1877" s="102">
        <v>6756</v>
      </c>
      <c r="J1877" s="103">
        <v>15</v>
      </c>
      <c r="K1877" s="103"/>
      <c r="L1877" s="103"/>
      <c r="M1877" s="103">
        <v>1087</v>
      </c>
      <c r="N1877" s="103">
        <v>24</v>
      </c>
      <c r="O1877" s="103"/>
      <c r="P1877" s="103"/>
      <c r="Q1877" s="103"/>
      <c r="R1877" s="103"/>
      <c r="S1877" s="103"/>
      <c r="T1877" s="103"/>
      <c r="U1877" s="103"/>
      <c r="V1877" s="103"/>
      <c r="W1877" s="103"/>
      <c r="X1877" s="103"/>
      <c r="Y1877" s="103"/>
      <c r="Z1877" s="103"/>
      <c r="AA1877" s="103">
        <v>176</v>
      </c>
      <c r="AB1877" s="103"/>
      <c r="AC1877" s="103">
        <v>104</v>
      </c>
      <c r="AD1877" s="103"/>
      <c r="AE1877" s="103"/>
      <c r="AF1877" s="103"/>
      <c r="AG1877" s="103">
        <v>44</v>
      </c>
      <c r="AH1877" s="103"/>
      <c r="AI1877" s="103">
        <v>802</v>
      </c>
      <c r="AJ1877" s="103"/>
      <c r="AK1877" s="103"/>
      <c r="AL1877" s="103"/>
      <c r="AM1877" s="103"/>
      <c r="AN1877" s="103">
        <v>259</v>
      </c>
      <c r="AO1877" s="103">
        <v>201</v>
      </c>
      <c r="AP1877" s="103">
        <v>221</v>
      </c>
      <c r="AQ1877" s="103">
        <v>129</v>
      </c>
      <c r="AR1877" s="103">
        <v>157</v>
      </c>
      <c r="AS1877" s="103">
        <v>159</v>
      </c>
      <c r="AT1877" s="103"/>
      <c r="AU1877" s="103"/>
      <c r="AV1877" s="103"/>
      <c r="AW1877" s="104" t="str">
        <f>HYPERLINK("http://www.openstreetmap.org/?mlat=35.431&amp;mlon=43.2974&amp;zoom=12#map=12/35.431/43.2974","Maplink1")</f>
        <v>Maplink1</v>
      </c>
      <c r="AX1877" s="104" t="str">
        <f>HYPERLINK("https://www.google.iq/maps/search/+35.431,43.2974/@35.431,43.2974,14z?hl=en","Maplink2")</f>
        <v>Maplink2</v>
      </c>
      <c r="AY1877" s="104" t="str">
        <f>HYPERLINK("http://www.bing.com/maps/?lvl=14&amp;sty=h&amp;cp=35.431~43.2974&amp;sp=point.35.431_43.2974","Maplink3")</f>
        <v>Maplink3</v>
      </c>
    </row>
    <row r="1878" spans="1:51" x14ac:dyDescent="0.2">
      <c r="A1878" s="102">
        <v>34001</v>
      </c>
      <c r="B1878" s="103" t="s">
        <v>36</v>
      </c>
      <c r="C1878" s="103" t="s">
        <v>108</v>
      </c>
      <c r="D1878" s="103" t="s">
        <v>3595</v>
      </c>
      <c r="E1878" s="103" t="s">
        <v>3596</v>
      </c>
      <c r="F1878" s="103">
        <v>35.657701000000003</v>
      </c>
      <c r="G1878" s="103">
        <v>43.347819000000001</v>
      </c>
      <c r="H1878" s="102">
        <v>76</v>
      </c>
      <c r="I1878" s="102">
        <v>456</v>
      </c>
      <c r="J1878" s="103"/>
      <c r="K1878" s="103"/>
      <c r="L1878" s="103"/>
      <c r="M1878" s="103">
        <v>67</v>
      </c>
      <c r="N1878" s="103">
        <v>9</v>
      </c>
      <c r="O1878" s="103"/>
      <c r="P1878" s="103"/>
      <c r="Q1878" s="103"/>
      <c r="R1878" s="103"/>
      <c r="S1878" s="103"/>
      <c r="T1878" s="103"/>
      <c r="U1878" s="103"/>
      <c r="V1878" s="103"/>
      <c r="W1878" s="103"/>
      <c r="X1878" s="103"/>
      <c r="Y1878" s="103"/>
      <c r="Z1878" s="103"/>
      <c r="AA1878" s="103"/>
      <c r="AB1878" s="103"/>
      <c r="AC1878" s="103"/>
      <c r="AD1878" s="103"/>
      <c r="AE1878" s="103"/>
      <c r="AF1878" s="103"/>
      <c r="AG1878" s="103">
        <v>76</v>
      </c>
      <c r="AH1878" s="103"/>
      <c r="AI1878" s="103"/>
      <c r="AJ1878" s="103"/>
      <c r="AK1878" s="103"/>
      <c r="AL1878" s="103"/>
      <c r="AM1878" s="103"/>
      <c r="AN1878" s="103"/>
      <c r="AO1878" s="103"/>
      <c r="AP1878" s="103">
        <v>14</v>
      </c>
      <c r="AQ1878" s="103">
        <v>18</v>
      </c>
      <c r="AR1878" s="103">
        <v>22</v>
      </c>
      <c r="AS1878" s="103">
        <v>22</v>
      </c>
      <c r="AT1878" s="103"/>
      <c r="AU1878" s="103"/>
      <c r="AV1878" s="103"/>
      <c r="AW1878" s="104" t="str">
        <f>HYPERLINK("http://www.openstreetmap.org/?mlat=35.6577&amp;mlon=43.3478&amp;zoom=12#map=12/35.6577/43.3478","Maplink1")</f>
        <v>Maplink1</v>
      </c>
      <c r="AX1878" s="104" t="str">
        <f>HYPERLINK("https://www.google.iq/maps/search/+35.6577,43.3478/@35.6577,43.3478,14z?hl=en","Maplink2")</f>
        <v>Maplink2</v>
      </c>
      <c r="AY1878" s="104" t="str">
        <f>HYPERLINK("http://www.bing.com/maps/?lvl=14&amp;sty=h&amp;cp=35.6577~43.3478&amp;sp=point.35.6577_43.3478","Maplink3")</f>
        <v>Maplink3</v>
      </c>
    </row>
    <row r="1879" spans="1:51" x14ac:dyDescent="0.2">
      <c r="A1879" s="102">
        <v>29653</v>
      </c>
      <c r="B1879" s="103" t="s">
        <v>36</v>
      </c>
      <c r="C1879" s="103" t="s">
        <v>108</v>
      </c>
      <c r="D1879" s="103" t="s">
        <v>3545</v>
      </c>
      <c r="E1879" s="103" t="s">
        <v>545</v>
      </c>
      <c r="F1879" s="103">
        <v>35.536968573000003</v>
      </c>
      <c r="G1879" s="103">
        <v>43.226339751899999</v>
      </c>
      <c r="H1879" s="102">
        <v>457</v>
      </c>
      <c r="I1879" s="102">
        <v>2742</v>
      </c>
      <c r="J1879" s="103">
        <v>13</v>
      </c>
      <c r="K1879" s="103"/>
      <c r="L1879" s="103"/>
      <c r="M1879" s="103">
        <v>436</v>
      </c>
      <c r="N1879" s="103">
        <v>8</v>
      </c>
      <c r="O1879" s="103"/>
      <c r="P1879" s="103"/>
      <c r="Q1879" s="103"/>
      <c r="R1879" s="103"/>
      <c r="S1879" s="103"/>
      <c r="T1879" s="103"/>
      <c r="U1879" s="103"/>
      <c r="V1879" s="103"/>
      <c r="W1879" s="103"/>
      <c r="X1879" s="103"/>
      <c r="Y1879" s="103"/>
      <c r="Z1879" s="103"/>
      <c r="AA1879" s="103">
        <v>67</v>
      </c>
      <c r="AB1879" s="103"/>
      <c r="AC1879" s="103">
        <v>129</v>
      </c>
      <c r="AD1879" s="103"/>
      <c r="AE1879" s="103"/>
      <c r="AF1879" s="103"/>
      <c r="AG1879" s="103"/>
      <c r="AH1879" s="103"/>
      <c r="AI1879" s="103">
        <v>255</v>
      </c>
      <c r="AJ1879" s="103">
        <v>6</v>
      </c>
      <c r="AK1879" s="103"/>
      <c r="AL1879" s="103"/>
      <c r="AM1879" s="103"/>
      <c r="AN1879" s="103">
        <v>163</v>
      </c>
      <c r="AO1879" s="103">
        <v>83</v>
      </c>
      <c r="AP1879" s="103">
        <v>50</v>
      </c>
      <c r="AQ1879" s="103">
        <v>57</v>
      </c>
      <c r="AR1879" s="103">
        <v>43</v>
      </c>
      <c r="AS1879" s="103">
        <v>61</v>
      </c>
      <c r="AT1879" s="103"/>
      <c r="AU1879" s="103"/>
      <c r="AV1879" s="103"/>
      <c r="AW1879" s="104" t="str">
        <f>HYPERLINK("http://www.openstreetmap.org/?mlat=35.537&amp;mlon=43.2263&amp;zoom=12#map=12/35.537/43.2263","Maplink1")</f>
        <v>Maplink1</v>
      </c>
      <c r="AX1879" s="104" t="str">
        <f>HYPERLINK("https://www.google.iq/maps/search/+35.537,43.2263/@35.537,43.2263,14z?hl=en","Maplink2")</f>
        <v>Maplink2</v>
      </c>
      <c r="AY1879" s="104" t="str">
        <f>HYPERLINK("http://www.bing.com/maps/?lvl=14&amp;sty=h&amp;cp=35.537~43.2263&amp;sp=point.35.537_43.2263","Maplink3")</f>
        <v>Maplink3</v>
      </c>
    </row>
    <row r="1880" spans="1:51" x14ac:dyDescent="0.2">
      <c r="A1880" s="102">
        <v>29654</v>
      </c>
      <c r="B1880" s="103" t="s">
        <v>36</v>
      </c>
      <c r="C1880" s="103" t="s">
        <v>108</v>
      </c>
      <c r="D1880" s="103" t="s">
        <v>3546</v>
      </c>
      <c r="E1880" s="103" t="s">
        <v>3547</v>
      </c>
      <c r="F1880" s="103">
        <v>35.538835306700001</v>
      </c>
      <c r="G1880" s="103">
        <v>43.224176969399998</v>
      </c>
      <c r="H1880" s="102">
        <v>342</v>
      </c>
      <c r="I1880" s="102">
        <v>2052</v>
      </c>
      <c r="J1880" s="103">
        <v>2</v>
      </c>
      <c r="K1880" s="103"/>
      <c r="L1880" s="103">
        <v>4</v>
      </c>
      <c r="M1880" s="103">
        <v>330</v>
      </c>
      <c r="N1880" s="103">
        <v>6</v>
      </c>
      <c r="O1880" s="103"/>
      <c r="P1880" s="103"/>
      <c r="Q1880" s="103"/>
      <c r="R1880" s="103"/>
      <c r="S1880" s="103"/>
      <c r="T1880" s="103"/>
      <c r="U1880" s="103"/>
      <c r="V1880" s="103"/>
      <c r="W1880" s="103"/>
      <c r="X1880" s="103"/>
      <c r="Y1880" s="103"/>
      <c r="Z1880" s="103"/>
      <c r="AA1880" s="103">
        <v>78</v>
      </c>
      <c r="AB1880" s="103"/>
      <c r="AC1880" s="103">
        <v>51</v>
      </c>
      <c r="AD1880" s="103"/>
      <c r="AE1880" s="103"/>
      <c r="AF1880" s="103"/>
      <c r="AG1880" s="103"/>
      <c r="AH1880" s="103"/>
      <c r="AI1880" s="103">
        <v>213</v>
      </c>
      <c r="AJ1880" s="103"/>
      <c r="AK1880" s="103"/>
      <c r="AL1880" s="103"/>
      <c r="AM1880" s="103"/>
      <c r="AN1880" s="103">
        <v>153</v>
      </c>
      <c r="AO1880" s="103">
        <v>95</v>
      </c>
      <c r="AP1880" s="103">
        <v>29</v>
      </c>
      <c r="AQ1880" s="103">
        <v>31</v>
      </c>
      <c r="AR1880" s="103">
        <v>34</v>
      </c>
      <c r="AS1880" s="103"/>
      <c r="AT1880" s="103"/>
      <c r="AU1880" s="103"/>
      <c r="AV1880" s="103"/>
      <c r="AW1880" s="104" t="str">
        <f>HYPERLINK("http://www.openstreetmap.org/?mlat=35.5388&amp;mlon=43.2242&amp;zoom=12#map=12/35.5388/43.2242","Maplink1")</f>
        <v>Maplink1</v>
      </c>
      <c r="AX1880" s="104" t="str">
        <f>HYPERLINK("https://www.google.iq/maps/search/+35.5388,43.2242/@35.5388,43.2242,14z?hl=en","Maplink2")</f>
        <v>Maplink2</v>
      </c>
      <c r="AY1880" s="104" t="str">
        <f>HYPERLINK("http://www.bing.com/maps/?lvl=14&amp;sty=h&amp;cp=35.5388~43.2242&amp;sp=point.35.5388_43.2242","Maplink3")</f>
        <v>Maplink3</v>
      </c>
    </row>
    <row r="1881" spans="1:51" x14ac:dyDescent="0.2">
      <c r="A1881" s="102">
        <v>21001</v>
      </c>
      <c r="B1881" s="103" t="s">
        <v>36</v>
      </c>
      <c r="C1881" s="103" t="s">
        <v>108</v>
      </c>
      <c r="D1881" s="103" t="s">
        <v>3509</v>
      </c>
      <c r="E1881" s="103" t="s">
        <v>3510</v>
      </c>
      <c r="F1881" s="103">
        <v>35.406489999999998</v>
      </c>
      <c r="G1881" s="103">
        <v>43.117044999999997</v>
      </c>
      <c r="H1881" s="102">
        <v>20</v>
      </c>
      <c r="I1881" s="102">
        <v>120</v>
      </c>
      <c r="J1881" s="103"/>
      <c r="K1881" s="103"/>
      <c r="L1881" s="103"/>
      <c r="M1881" s="103">
        <v>20</v>
      </c>
      <c r="N1881" s="103"/>
      <c r="O1881" s="103"/>
      <c r="P1881" s="103"/>
      <c r="Q1881" s="103"/>
      <c r="R1881" s="103"/>
      <c r="S1881" s="103"/>
      <c r="T1881" s="103"/>
      <c r="U1881" s="103"/>
      <c r="V1881" s="103"/>
      <c r="W1881" s="103"/>
      <c r="X1881" s="103"/>
      <c r="Y1881" s="103"/>
      <c r="Z1881" s="103"/>
      <c r="AA1881" s="103"/>
      <c r="AB1881" s="103"/>
      <c r="AC1881" s="103"/>
      <c r="AD1881" s="103"/>
      <c r="AE1881" s="103"/>
      <c r="AF1881" s="103"/>
      <c r="AG1881" s="103"/>
      <c r="AH1881" s="103"/>
      <c r="AI1881" s="103">
        <v>20</v>
      </c>
      <c r="AJ1881" s="103"/>
      <c r="AK1881" s="103"/>
      <c r="AL1881" s="103"/>
      <c r="AM1881" s="103"/>
      <c r="AN1881" s="103">
        <v>5</v>
      </c>
      <c r="AO1881" s="103">
        <v>2</v>
      </c>
      <c r="AP1881" s="103"/>
      <c r="AQ1881" s="103">
        <v>1</v>
      </c>
      <c r="AR1881" s="103">
        <v>5</v>
      </c>
      <c r="AS1881" s="103">
        <v>7</v>
      </c>
      <c r="AT1881" s="103"/>
      <c r="AU1881" s="103"/>
      <c r="AV1881" s="103"/>
      <c r="AW1881" s="104" t="str">
        <f>HYPERLINK("http://www.openstreetmap.org/?mlat=35.4065&amp;mlon=43.117&amp;zoom=12#map=12/35.4065/43.117","Maplink1")</f>
        <v>Maplink1</v>
      </c>
      <c r="AX1881" s="104" t="str">
        <f>HYPERLINK("https://www.google.iq/maps/search/+35.4065,43.117/@35.4065,43.117,14z?hl=en","Maplink2")</f>
        <v>Maplink2</v>
      </c>
      <c r="AY1881" s="104" t="str">
        <f>HYPERLINK("http://www.bing.com/maps/?lvl=14&amp;sty=h&amp;cp=35.4065~43.117&amp;sp=point.35.4065_43.117","Maplink3")</f>
        <v>Maplink3</v>
      </c>
    </row>
    <row r="1882" spans="1:51" x14ac:dyDescent="0.2">
      <c r="A1882" s="102">
        <v>24246</v>
      </c>
      <c r="B1882" s="103" t="s">
        <v>36</v>
      </c>
      <c r="C1882" s="103" t="s">
        <v>108</v>
      </c>
      <c r="D1882" s="103" t="s">
        <v>3511</v>
      </c>
      <c r="E1882" s="103" t="s">
        <v>3512</v>
      </c>
      <c r="F1882" s="103">
        <v>35.5039812578</v>
      </c>
      <c r="G1882" s="103">
        <v>43.246247218999997</v>
      </c>
      <c r="H1882" s="102">
        <v>155</v>
      </c>
      <c r="I1882" s="102">
        <v>930</v>
      </c>
      <c r="J1882" s="103"/>
      <c r="K1882" s="103"/>
      <c r="L1882" s="103"/>
      <c r="M1882" s="103">
        <v>146</v>
      </c>
      <c r="N1882" s="103">
        <v>9</v>
      </c>
      <c r="O1882" s="103"/>
      <c r="P1882" s="103"/>
      <c r="Q1882" s="103"/>
      <c r="R1882" s="103"/>
      <c r="S1882" s="103"/>
      <c r="T1882" s="103"/>
      <c r="U1882" s="103"/>
      <c r="V1882" s="103"/>
      <c r="W1882" s="103"/>
      <c r="X1882" s="103"/>
      <c r="Y1882" s="103"/>
      <c r="Z1882" s="103"/>
      <c r="AA1882" s="103">
        <v>71</v>
      </c>
      <c r="AB1882" s="103"/>
      <c r="AC1882" s="103">
        <v>38</v>
      </c>
      <c r="AD1882" s="103"/>
      <c r="AE1882" s="103"/>
      <c r="AF1882" s="103"/>
      <c r="AG1882" s="103"/>
      <c r="AH1882" s="103"/>
      <c r="AI1882" s="103">
        <v>46</v>
      </c>
      <c r="AJ1882" s="103"/>
      <c r="AK1882" s="103"/>
      <c r="AL1882" s="103"/>
      <c r="AM1882" s="103"/>
      <c r="AN1882" s="103">
        <v>25</v>
      </c>
      <c r="AO1882" s="103">
        <v>22</v>
      </c>
      <c r="AP1882" s="103">
        <v>28</v>
      </c>
      <c r="AQ1882" s="103">
        <v>39</v>
      </c>
      <c r="AR1882" s="103">
        <v>41</v>
      </c>
      <c r="AS1882" s="103"/>
      <c r="AT1882" s="103"/>
      <c r="AU1882" s="103"/>
      <c r="AV1882" s="103"/>
      <c r="AW1882" s="104" t="str">
        <f>HYPERLINK("http://www.openstreetmap.org/?mlat=35.504&amp;mlon=43.2462&amp;zoom=12#map=12/35.504/43.2462","Maplink1")</f>
        <v>Maplink1</v>
      </c>
      <c r="AX1882" s="104" t="str">
        <f>HYPERLINK("https://www.google.iq/maps/search/+35.504,43.2462/@35.504,43.2462,14z?hl=en","Maplink2")</f>
        <v>Maplink2</v>
      </c>
      <c r="AY1882" s="104" t="str">
        <f>HYPERLINK("http://www.bing.com/maps/?lvl=14&amp;sty=h&amp;cp=35.504~43.2462&amp;sp=point.35.504_43.2462","Maplink3")</f>
        <v>Maplink3</v>
      </c>
    </row>
    <row r="1883" spans="1:51" x14ac:dyDescent="0.2">
      <c r="A1883" s="102">
        <v>33436</v>
      </c>
      <c r="B1883" s="103" t="s">
        <v>36</v>
      </c>
      <c r="C1883" s="103" t="s">
        <v>109</v>
      </c>
      <c r="D1883" s="103" t="s">
        <v>3672</v>
      </c>
      <c r="E1883" s="103" t="s">
        <v>2199</v>
      </c>
      <c r="F1883" s="103">
        <v>35.243293899999998</v>
      </c>
      <c r="G1883" s="103">
        <v>43.250529391000001</v>
      </c>
      <c r="H1883" s="102">
        <v>60</v>
      </c>
      <c r="I1883" s="102">
        <v>360</v>
      </c>
      <c r="J1883" s="103">
        <v>8</v>
      </c>
      <c r="K1883" s="103"/>
      <c r="L1883" s="103"/>
      <c r="M1883" s="103">
        <v>49</v>
      </c>
      <c r="N1883" s="103">
        <v>3</v>
      </c>
      <c r="O1883" s="103"/>
      <c r="P1883" s="103"/>
      <c r="Q1883" s="103"/>
      <c r="R1883" s="103"/>
      <c r="S1883" s="103"/>
      <c r="T1883" s="103"/>
      <c r="U1883" s="103"/>
      <c r="V1883" s="103"/>
      <c r="W1883" s="103"/>
      <c r="X1883" s="103"/>
      <c r="Y1883" s="103"/>
      <c r="Z1883" s="103"/>
      <c r="AA1883" s="103">
        <v>25</v>
      </c>
      <c r="AB1883" s="103"/>
      <c r="AC1883" s="103"/>
      <c r="AD1883" s="103"/>
      <c r="AE1883" s="103"/>
      <c r="AF1883" s="103"/>
      <c r="AG1883" s="103"/>
      <c r="AH1883" s="103"/>
      <c r="AI1883" s="103">
        <v>35</v>
      </c>
      <c r="AJ1883" s="103"/>
      <c r="AK1883" s="103"/>
      <c r="AL1883" s="103"/>
      <c r="AM1883" s="103"/>
      <c r="AN1883" s="103">
        <v>25</v>
      </c>
      <c r="AO1883" s="103"/>
      <c r="AP1883" s="103"/>
      <c r="AQ1883" s="103"/>
      <c r="AR1883" s="103">
        <v>35</v>
      </c>
      <c r="AS1883" s="103"/>
      <c r="AT1883" s="103"/>
      <c r="AU1883" s="103"/>
      <c r="AV1883" s="103"/>
      <c r="AW1883" s="104" t="str">
        <f>HYPERLINK("http://www.openstreetmap.org/?mlat=35.2433&amp;mlon=43.2505&amp;zoom=12#map=12/35.2433/43.2505","Maplink1")</f>
        <v>Maplink1</v>
      </c>
      <c r="AX1883" s="104" t="str">
        <f>HYPERLINK("https://www.google.iq/maps/search/+35.2433,43.2505/@35.2433,43.2505,14z?hl=en","Maplink2")</f>
        <v>Maplink2</v>
      </c>
      <c r="AY1883" s="104" t="str">
        <f>HYPERLINK("http://www.bing.com/maps/?lvl=14&amp;sty=h&amp;cp=35.2433~43.2505&amp;sp=point.35.2433_43.2505","Maplink3")</f>
        <v>Maplink3</v>
      </c>
    </row>
    <row r="1884" spans="1:51" x14ac:dyDescent="0.2">
      <c r="A1884" s="102">
        <v>25706</v>
      </c>
      <c r="B1884" s="103" t="s">
        <v>36</v>
      </c>
      <c r="C1884" s="103" t="s">
        <v>109</v>
      </c>
      <c r="D1884" s="103" t="s">
        <v>3650</v>
      </c>
      <c r="E1884" s="103" t="s">
        <v>3651</v>
      </c>
      <c r="F1884" s="103">
        <v>34.821457859600002</v>
      </c>
      <c r="G1884" s="103">
        <v>43.519237974200003</v>
      </c>
      <c r="H1884" s="102">
        <v>1276</v>
      </c>
      <c r="I1884" s="102">
        <v>7656</v>
      </c>
      <c r="J1884" s="103"/>
      <c r="K1884" s="103"/>
      <c r="L1884" s="103">
        <v>96</v>
      </c>
      <c r="M1884" s="103">
        <v>1180</v>
      </c>
      <c r="N1884" s="103"/>
      <c r="O1884" s="103"/>
      <c r="P1884" s="103"/>
      <c r="Q1884" s="103"/>
      <c r="R1884" s="103"/>
      <c r="S1884" s="103"/>
      <c r="T1884" s="103"/>
      <c r="U1884" s="103"/>
      <c r="V1884" s="103"/>
      <c r="W1884" s="103">
        <v>2</v>
      </c>
      <c r="X1884" s="103"/>
      <c r="Y1884" s="103">
        <v>3</v>
      </c>
      <c r="Z1884" s="103"/>
      <c r="AA1884" s="103">
        <v>931</v>
      </c>
      <c r="AB1884" s="103"/>
      <c r="AC1884" s="103">
        <v>50</v>
      </c>
      <c r="AD1884" s="103"/>
      <c r="AE1884" s="103"/>
      <c r="AF1884" s="103"/>
      <c r="AG1884" s="103"/>
      <c r="AH1884" s="103"/>
      <c r="AI1884" s="103">
        <v>140</v>
      </c>
      <c r="AJ1884" s="103">
        <v>150</v>
      </c>
      <c r="AK1884" s="103"/>
      <c r="AL1884" s="103"/>
      <c r="AM1884" s="103">
        <v>15</v>
      </c>
      <c r="AN1884" s="103">
        <v>1150</v>
      </c>
      <c r="AO1884" s="103">
        <v>111</v>
      </c>
      <c r="AP1884" s="103"/>
      <c r="AQ1884" s="103"/>
      <c r="AR1884" s="103"/>
      <c r="AS1884" s="103"/>
      <c r="AT1884" s="103"/>
      <c r="AU1884" s="103"/>
      <c r="AV1884" s="103"/>
      <c r="AW1884" s="104" t="str">
        <f>HYPERLINK("http://www.openstreetmap.org/?mlat=34.8215&amp;mlon=43.5192&amp;zoom=12#map=12/34.8215/43.5192","Maplink1")</f>
        <v>Maplink1</v>
      </c>
      <c r="AX1884" s="104" t="str">
        <f>HYPERLINK("https://www.google.iq/maps/search/+34.8215,43.5192/@34.8215,43.5192,14z?hl=en","Maplink2")</f>
        <v>Maplink2</v>
      </c>
      <c r="AY1884" s="104" t="str">
        <f>HYPERLINK("http://www.bing.com/maps/?lvl=14&amp;sty=h&amp;cp=34.8215~43.5192&amp;sp=point.34.8215_43.5192","Maplink3")</f>
        <v>Maplink3</v>
      </c>
    </row>
    <row r="1885" spans="1:51" x14ac:dyDescent="0.2">
      <c r="A1885" s="102">
        <v>33714</v>
      </c>
      <c r="B1885" s="103" t="s">
        <v>36</v>
      </c>
      <c r="C1885" s="103" t="s">
        <v>109</v>
      </c>
      <c r="D1885" s="103" t="s">
        <v>3652</v>
      </c>
      <c r="E1885" s="103" t="s">
        <v>608</v>
      </c>
      <c r="F1885" s="103">
        <v>34.925440999999999</v>
      </c>
      <c r="G1885" s="103">
        <v>43.441410362100001</v>
      </c>
      <c r="H1885" s="102">
        <v>165</v>
      </c>
      <c r="I1885" s="102">
        <v>990</v>
      </c>
      <c r="J1885" s="103"/>
      <c r="K1885" s="103"/>
      <c r="L1885" s="103"/>
      <c r="M1885" s="103">
        <v>139</v>
      </c>
      <c r="N1885" s="103">
        <v>20</v>
      </c>
      <c r="O1885" s="103"/>
      <c r="P1885" s="103"/>
      <c r="Q1885" s="103"/>
      <c r="R1885" s="103">
        <v>6</v>
      </c>
      <c r="S1885" s="103"/>
      <c r="T1885" s="103"/>
      <c r="U1885" s="103"/>
      <c r="V1885" s="103"/>
      <c r="W1885" s="103"/>
      <c r="X1885" s="103"/>
      <c r="Y1885" s="103"/>
      <c r="Z1885" s="103"/>
      <c r="AA1885" s="103"/>
      <c r="AB1885" s="103"/>
      <c r="AC1885" s="103">
        <v>22</v>
      </c>
      <c r="AD1885" s="103"/>
      <c r="AE1885" s="103"/>
      <c r="AF1885" s="103"/>
      <c r="AG1885" s="103"/>
      <c r="AH1885" s="103"/>
      <c r="AI1885" s="103">
        <v>143</v>
      </c>
      <c r="AJ1885" s="103"/>
      <c r="AK1885" s="103"/>
      <c r="AL1885" s="103"/>
      <c r="AM1885" s="103"/>
      <c r="AN1885" s="103">
        <v>22</v>
      </c>
      <c r="AO1885" s="103">
        <v>143</v>
      </c>
      <c r="AP1885" s="103"/>
      <c r="AQ1885" s="103"/>
      <c r="AR1885" s="103"/>
      <c r="AS1885" s="103"/>
      <c r="AT1885" s="103"/>
      <c r="AU1885" s="103"/>
      <c r="AV1885" s="103"/>
      <c r="AW1885" s="104" t="str">
        <f>HYPERLINK("http://www.openstreetmap.org/?mlat=34.9254&amp;mlon=43.4414&amp;zoom=12#map=12/34.9254/43.4414","Maplink1")</f>
        <v>Maplink1</v>
      </c>
      <c r="AX1885" s="104" t="str">
        <f>HYPERLINK("https://www.google.iq/maps/search/+34.9254,43.4414/@34.9254,43.4414,14z?hl=en","Maplink2")</f>
        <v>Maplink2</v>
      </c>
      <c r="AY1885" s="104" t="str">
        <f>HYPERLINK("http://www.bing.com/maps/?lvl=14&amp;sty=h&amp;cp=34.9254~43.4414&amp;sp=point.34.9254_43.4414","Maplink3")</f>
        <v>Maplink3</v>
      </c>
    </row>
    <row r="1886" spans="1:51" x14ac:dyDescent="0.2">
      <c r="A1886" s="102">
        <v>33370</v>
      </c>
      <c r="B1886" s="103" t="s">
        <v>36</v>
      </c>
      <c r="C1886" s="103" t="s">
        <v>109</v>
      </c>
      <c r="D1886" s="103" t="s">
        <v>3611</v>
      </c>
      <c r="E1886" s="103" t="s">
        <v>3612</v>
      </c>
      <c r="F1886" s="103">
        <v>34.905473999999998</v>
      </c>
      <c r="G1886" s="103">
        <v>43.450107291199998</v>
      </c>
      <c r="H1886" s="102">
        <v>101</v>
      </c>
      <c r="I1886" s="102">
        <v>606</v>
      </c>
      <c r="J1886" s="103"/>
      <c r="K1886" s="103"/>
      <c r="L1886" s="103"/>
      <c r="M1886" s="103">
        <v>71</v>
      </c>
      <c r="N1886" s="103">
        <v>30</v>
      </c>
      <c r="O1886" s="103"/>
      <c r="P1886" s="103"/>
      <c r="Q1886" s="103"/>
      <c r="R1886" s="103"/>
      <c r="S1886" s="103"/>
      <c r="T1886" s="103"/>
      <c r="U1886" s="103"/>
      <c r="V1886" s="103"/>
      <c r="W1886" s="103"/>
      <c r="X1886" s="103"/>
      <c r="Y1886" s="103">
        <v>11</v>
      </c>
      <c r="Z1886" s="103"/>
      <c r="AA1886" s="103">
        <v>28</v>
      </c>
      <c r="AB1886" s="103"/>
      <c r="AC1886" s="103"/>
      <c r="AD1886" s="103"/>
      <c r="AE1886" s="103"/>
      <c r="AF1886" s="103"/>
      <c r="AG1886" s="103"/>
      <c r="AH1886" s="103"/>
      <c r="AI1886" s="103">
        <v>51</v>
      </c>
      <c r="AJ1886" s="103">
        <v>11</v>
      </c>
      <c r="AK1886" s="103"/>
      <c r="AL1886" s="103"/>
      <c r="AM1886" s="103">
        <v>30</v>
      </c>
      <c r="AN1886" s="103">
        <v>40</v>
      </c>
      <c r="AO1886" s="103">
        <v>21</v>
      </c>
      <c r="AP1886" s="103">
        <v>10</v>
      </c>
      <c r="AQ1886" s="103"/>
      <c r="AR1886" s="103"/>
      <c r="AS1886" s="103"/>
      <c r="AT1886" s="103"/>
      <c r="AU1886" s="103"/>
      <c r="AV1886" s="103"/>
      <c r="AW1886" s="104" t="str">
        <f>HYPERLINK("http://www.openstreetmap.org/?mlat=34.9055&amp;mlon=43.4501&amp;zoom=12#map=12/34.9055/43.4501","Maplink1")</f>
        <v>Maplink1</v>
      </c>
      <c r="AX1886" s="104" t="str">
        <f>HYPERLINK("https://www.google.iq/maps/search/+34.9055,43.4501/@34.9055,43.4501,14z?hl=en","Maplink2")</f>
        <v>Maplink2</v>
      </c>
      <c r="AY1886" s="104" t="str">
        <f>HYPERLINK("http://www.bing.com/maps/?lvl=14&amp;sty=h&amp;cp=34.9055~43.4501&amp;sp=point.34.9055_43.4501","Maplink3")</f>
        <v>Maplink3</v>
      </c>
    </row>
    <row r="1887" spans="1:51" x14ac:dyDescent="0.2">
      <c r="A1887" s="102">
        <v>23231</v>
      </c>
      <c r="B1887" s="103" t="s">
        <v>36</v>
      </c>
      <c r="C1887" s="103" t="s">
        <v>109</v>
      </c>
      <c r="D1887" s="103" t="s">
        <v>3609</v>
      </c>
      <c r="E1887" s="103" t="s">
        <v>3610</v>
      </c>
      <c r="F1887" s="103">
        <v>34.975133</v>
      </c>
      <c r="G1887" s="103">
        <v>43.502383899000002</v>
      </c>
      <c r="H1887" s="102">
        <v>610</v>
      </c>
      <c r="I1887" s="102">
        <v>3660</v>
      </c>
      <c r="J1887" s="103">
        <v>23</v>
      </c>
      <c r="K1887" s="103"/>
      <c r="L1887" s="103">
        <v>10</v>
      </c>
      <c r="M1887" s="103">
        <v>522</v>
      </c>
      <c r="N1887" s="103">
        <v>55</v>
      </c>
      <c r="O1887" s="103"/>
      <c r="P1887" s="103"/>
      <c r="Q1887" s="103"/>
      <c r="R1887" s="103"/>
      <c r="S1887" s="103"/>
      <c r="T1887" s="103"/>
      <c r="U1887" s="103"/>
      <c r="V1887" s="103"/>
      <c r="W1887" s="103"/>
      <c r="X1887" s="103"/>
      <c r="Y1887" s="103"/>
      <c r="Z1887" s="103"/>
      <c r="AA1887" s="103">
        <v>112</v>
      </c>
      <c r="AB1887" s="103"/>
      <c r="AC1887" s="103">
        <v>219</v>
      </c>
      <c r="AD1887" s="103"/>
      <c r="AE1887" s="103"/>
      <c r="AF1887" s="103"/>
      <c r="AG1887" s="103"/>
      <c r="AH1887" s="103"/>
      <c r="AI1887" s="103">
        <v>185</v>
      </c>
      <c r="AJ1887" s="103">
        <v>94</v>
      </c>
      <c r="AK1887" s="103"/>
      <c r="AL1887" s="103"/>
      <c r="AM1887" s="103"/>
      <c r="AN1887" s="103">
        <v>245</v>
      </c>
      <c r="AO1887" s="103">
        <v>162</v>
      </c>
      <c r="AP1887" s="103">
        <v>203</v>
      </c>
      <c r="AQ1887" s="103"/>
      <c r="AR1887" s="103"/>
      <c r="AS1887" s="103"/>
      <c r="AT1887" s="103"/>
      <c r="AU1887" s="103"/>
      <c r="AV1887" s="103"/>
      <c r="AW1887" s="104" t="str">
        <f>HYPERLINK("http://www.openstreetmap.org/?mlat=34.9751&amp;mlon=43.5024&amp;zoom=12#map=12/34.9751/43.5024","Maplink1")</f>
        <v>Maplink1</v>
      </c>
      <c r="AX1887" s="104" t="str">
        <f>HYPERLINK("https://www.google.iq/maps/search/+34.9751,43.5024/@34.9751,43.5024,14z?hl=en","Maplink2")</f>
        <v>Maplink2</v>
      </c>
      <c r="AY1887" s="104" t="str">
        <f>HYPERLINK("http://www.bing.com/maps/?lvl=14&amp;sty=h&amp;cp=34.9751~43.5024&amp;sp=point.34.9751_43.5024","Maplink3")</f>
        <v>Maplink3</v>
      </c>
    </row>
    <row r="1888" spans="1:51" x14ac:dyDescent="0.2">
      <c r="A1888" s="102">
        <v>22973</v>
      </c>
      <c r="B1888" s="103" t="s">
        <v>36</v>
      </c>
      <c r="C1888" s="103" t="s">
        <v>109</v>
      </c>
      <c r="D1888" s="103" t="s">
        <v>3668</v>
      </c>
      <c r="E1888" s="103" t="s">
        <v>3669</v>
      </c>
      <c r="F1888" s="103">
        <v>35.026921000000002</v>
      </c>
      <c r="G1888" s="103">
        <v>43.565687965000002</v>
      </c>
      <c r="H1888" s="102">
        <v>204</v>
      </c>
      <c r="I1888" s="102">
        <v>1224</v>
      </c>
      <c r="J1888" s="103"/>
      <c r="K1888" s="103"/>
      <c r="L1888" s="103"/>
      <c r="M1888" s="103">
        <v>184</v>
      </c>
      <c r="N1888" s="103">
        <v>20</v>
      </c>
      <c r="O1888" s="103"/>
      <c r="P1888" s="103"/>
      <c r="Q1888" s="103"/>
      <c r="R1888" s="103"/>
      <c r="S1888" s="103"/>
      <c r="T1888" s="103"/>
      <c r="U1888" s="103"/>
      <c r="V1888" s="103"/>
      <c r="W1888" s="103"/>
      <c r="X1888" s="103"/>
      <c r="Y1888" s="103"/>
      <c r="Z1888" s="103"/>
      <c r="AA1888" s="103">
        <v>18</v>
      </c>
      <c r="AB1888" s="103"/>
      <c r="AC1888" s="103">
        <v>42</v>
      </c>
      <c r="AD1888" s="103"/>
      <c r="AE1888" s="103"/>
      <c r="AF1888" s="103"/>
      <c r="AG1888" s="103"/>
      <c r="AH1888" s="103"/>
      <c r="AI1888" s="103">
        <v>144</v>
      </c>
      <c r="AJ1888" s="103"/>
      <c r="AK1888" s="103"/>
      <c r="AL1888" s="103"/>
      <c r="AM1888" s="103">
        <v>44</v>
      </c>
      <c r="AN1888" s="103">
        <v>90</v>
      </c>
      <c r="AO1888" s="103">
        <v>70</v>
      </c>
      <c r="AP1888" s="103"/>
      <c r="AQ1888" s="103"/>
      <c r="AR1888" s="103"/>
      <c r="AS1888" s="103"/>
      <c r="AT1888" s="103"/>
      <c r="AU1888" s="103"/>
      <c r="AV1888" s="103"/>
      <c r="AW1888" s="104" t="str">
        <f>HYPERLINK("http://www.openstreetmap.org/?mlat=35.0269&amp;mlon=43.5657&amp;zoom=12#map=12/35.0269/43.5657","Maplink1")</f>
        <v>Maplink1</v>
      </c>
      <c r="AX1888" s="104" t="str">
        <f>HYPERLINK("https://www.google.iq/maps/search/+35.0269,43.5657/@35.0269,43.5657,14z?hl=en","Maplink2")</f>
        <v>Maplink2</v>
      </c>
      <c r="AY1888" s="104" t="str">
        <f>HYPERLINK("http://www.bing.com/maps/?lvl=14&amp;sty=h&amp;cp=35.0269~43.5657&amp;sp=point.35.0269_43.5657","Maplink3")</f>
        <v>Maplink3</v>
      </c>
    </row>
    <row r="1889" spans="1:51" x14ac:dyDescent="0.2">
      <c r="A1889" s="102">
        <v>33369</v>
      </c>
      <c r="B1889" s="103" t="s">
        <v>36</v>
      </c>
      <c r="C1889" s="103" t="s">
        <v>109</v>
      </c>
      <c r="D1889" s="103" t="s">
        <v>3675</v>
      </c>
      <c r="E1889" s="103" t="s">
        <v>252</v>
      </c>
      <c r="F1889" s="103">
        <v>34.921844999999998</v>
      </c>
      <c r="G1889" s="103">
        <v>43.482961406800001</v>
      </c>
      <c r="H1889" s="102">
        <v>638</v>
      </c>
      <c r="I1889" s="102">
        <v>3828</v>
      </c>
      <c r="J1889" s="103">
        <v>28</v>
      </c>
      <c r="K1889" s="103"/>
      <c r="L1889" s="103"/>
      <c r="M1889" s="103">
        <v>490</v>
      </c>
      <c r="N1889" s="103">
        <v>120</v>
      </c>
      <c r="O1889" s="103"/>
      <c r="P1889" s="103"/>
      <c r="Q1889" s="103"/>
      <c r="R1889" s="103"/>
      <c r="S1889" s="103"/>
      <c r="T1889" s="103"/>
      <c r="U1889" s="103"/>
      <c r="V1889" s="103"/>
      <c r="W1889" s="103"/>
      <c r="X1889" s="103"/>
      <c r="Y1889" s="103"/>
      <c r="Z1889" s="103"/>
      <c r="AA1889" s="103">
        <v>81</v>
      </c>
      <c r="AB1889" s="103"/>
      <c r="AC1889" s="103">
        <v>105</v>
      </c>
      <c r="AD1889" s="103"/>
      <c r="AE1889" s="103"/>
      <c r="AF1889" s="103"/>
      <c r="AG1889" s="103">
        <v>15</v>
      </c>
      <c r="AH1889" s="103"/>
      <c r="AI1889" s="103">
        <v>437</v>
      </c>
      <c r="AJ1889" s="103"/>
      <c r="AK1889" s="103"/>
      <c r="AL1889" s="103"/>
      <c r="AM1889" s="103">
        <v>30</v>
      </c>
      <c r="AN1889" s="103">
        <v>350</v>
      </c>
      <c r="AO1889" s="103">
        <v>200</v>
      </c>
      <c r="AP1889" s="103">
        <v>58</v>
      </c>
      <c r="AQ1889" s="103"/>
      <c r="AR1889" s="103"/>
      <c r="AS1889" s="103"/>
      <c r="AT1889" s="103"/>
      <c r="AU1889" s="103"/>
      <c r="AV1889" s="103"/>
      <c r="AW1889" s="104" t="str">
        <f>HYPERLINK("http://www.openstreetmap.org/?mlat=34.9218&amp;mlon=43.483&amp;zoom=12#map=12/34.9218/43.483","Maplink1")</f>
        <v>Maplink1</v>
      </c>
      <c r="AX1889" s="104" t="str">
        <f>HYPERLINK("https://www.google.iq/maps/search/+34.9218,43.483/@34.9218,43.483,14z?hl=en","Maplink2")</f>
        <v>Maplink2</v>
      </c>
      <c r="AY1889" s="104" t="str">
        <f>HYPERLINK("http://www.bing.com/maps/?lvl=14&amp;sty=h&amp;cp=34.9218~43.483&amp;sp=point.34.9218_43.483","Maplink3")</f>
        <v>Maplink3</v>
      </c>
    </row>
    <row r="1890" spans="1:51" x14ac:dyDescent="0.2">
      <c r="A1890" s="102">
        <v>20653</v>
      </c>
      <c r="B1890" s="103" t="s">
        <v>36</v>
      </c>
      <c r="C1890" s="103" t="s">
        <v>109</v>
      </c>
      <c r="D1890" s="103" t="s">
        <v>3673</v>
      </c>
      <c r="E1890" s="103" t="s">
        <v>3674</v>
      </c>
      <c r="F1890" s="103">
        <v>34.927320000000002</v>
      </c>
      <c r="G1890" s="103">
        <v>43.479769150000003</v>
      </c>
      <c r="H1890" s="102">
        <v>388</v>
      </c>
      <c r="I1890" s="102">
        <v>2328</v>
      </c>
      <c r="J1890" s="103"/>
      <c r="K1890" s="103"/>
      <c r="L1890" s="103">
        <v>10</v>
      </c>
      <c r="M1890" s="103">
        <v>313</v>
      </c>
      <c r="N1890" s="103">
        <v>65</v>
      </c>
      <c r="O1890" s="103"/>
      <c r="P1890" s="103"/>
      <c r="Q1890" s="103"/>
      <c r="R1890" s="103"/>
      <c r="S1890" s="103"/>
      <c r="T1890" s="103"/>
      <c r="U1890" s="103"/>
      <c r="V1890" s="103"/>
      <c r="W1890" s="103"/>
      <c r="X1890" s="103"/>
      <c r="Y1890" s="103"/>
      <c r="Z1890" s="103"/>
      <c r="AA1890" s="103">
        <v>85</v>
      </c>
      <c r="AB1890" s="103"/>
      <c r="AC1890" s="103">
        <v>80</v>
      </c>
      <c r="AD1890" s="103"/>
      <c r="AE1890" s="103"/>
      <c r="AF1890" s="103"/>
      <c r="AG1890" s="103">
        <v>15</v>
      </c>
      <c r="AH1890" s="103"/>
      <c r="AI1890" s="103">
        <v>185</v>
      </c>
      <c r="AJ1890" s="103">
        <v>23</v>
      </c>
      <c r="AK1890" s="103"/>
      <c r="AL1890" s="103"/>
      <c r="AM1890" s="103">
        <v>45</v>
      </c>
      <c r="AN1890" s="103">
        <v>185</v>
      </c>
      <c r="AO1890" s="103">
        <v>120</v>
      </c>
      <c r="AP1890" s="103">
        <v>38</v>
      </c>
      <c r="AQ1890" s="103"/>
      <c r="AR1890" s="103"/>
      <c r="AS1890" s="103"/>
      <c r="AT1890" s="103"/>
      <c r="AU1890" s="103"/>
      <c r="AV1890" s="103"/>
      <c r="AW1890" s="104" t="str">
        <f>HYPERLINK("http://www.openstreetmap.org/?mlat=34.9273&amp;mlon=43.4798&amp;zoom=12#map=12/34.9273/43.4798","Maplink1")</f>
        <v>Maplink1</v>
      </c>
      <c r="AX1890" s="104" t="str">
        <f>HYPERLINK("https://www.google.iq/maps/search/+34.9273,43.4798/@34.9273,43.4798,14z?hl=en","Maplink2")</f>
        <v>Maplink2</v>
      </c>
      <c r="AY1890" s="104" t="str">
        <f>HYPERLINK("http://www.bing.com/maps/?lvl=14&amp;sty=h&amp;cp=34.9273~43.4798&amp;sp=point.34.9273_43.4798","Maplink3")</f>
        <v>Maplink3</v>
      </c>
    </row>
    <row r="1891" spans="1:51" x14ac:dyDescent="0.2">
      <c r="A1891" s="102">
        <v>20602</v>
      </c>
      <c r="B1891" s="103" t="s">
        <v>36</v>
      </c>
      <c r="C1891" s="103" t="s">
        <v>109</v>
      </c>
      <c r="D1891" s="103" t="s">
        <v>3676</v>
      </c>
      <c r="E1891" s="103" t="s">
        <v>3677</v>
      </c>
      <c r="F1891" s="103">
        <v>34.890777</v>
      </c>
      <c r="G1891" s="103">
        <v>43.471240268999999</v>
      </c>
      <c r="H1891" s="102">
        <v>256</v>
      </c>
      <c r="I1891" s="102">
        <v>1536</v>
      </c>
      <c r="J1891" s="103">
        <v>9</v>
      </c>
      <c r="K1891" s="103"/>
      <c r="L1891" s="103"/>
      <c r="M1891" s="103">
        <v>214</v>
      </c>
      <c r="N1891" s="103">
        <v>33</v>
      </c>
      <c r="O1891" s="103"/>
      <c r="P1891" s="103"/>
      <c r="Q1891" s="103"/>
      <c r="R1891" s="103"/>
      <c r="S1891" s="103"/>
      <c r="T1891" s="103"/>
      <c r="U1891" s="103"/>
      <c r="V1891" s="103"/>
      <c r="W1891" s="103"/>
      <c r="X1891" s="103"/>
      <c r="Y1891" s="103"/>
      <c r="Z1891" s="103"/>
      <c r="AA1891" s="103">
        <v>18</v>
      </c>
      <c r="AB1891" s="103"/>
      <c r="AC1891" s="103">
        <v>32</v>
      </c>
      <c r="AD1891" s="103"/>
      <c r="AE1891" s="103"/>
      <c r="AF1891" s="103"/>
      <c r="AG1891" s="103"/>
      <c r="AH1891" s="103"/>
      <c r="AI1891" s="103">
        <v>206</v>
      </c>
      <c r="AJ1891" s="103"/>
      <c r="AK1891" s="103"/>
      <c r="AL1891" s="103"/>
      <c r="AM1891" s="103"/>
      <c r="AN1891" s="103">
        <v>46</v>
      </c>
      <c r="AO1891" s="103">
        <v>210</v>
      </c>
      <c r="AP1891" s="103"/>
      <c r="AQ1891" s="103"/>
      <c r="AR1891" s="103"/>
      <c r="AS1891" s="103"/>
      <c r="AT1891" s="103"/>
      <c r="AU1891" s="103"/>
      <c r="AV1891" s="103"/>
      <c r="AW1891" s="104" t="str">
        <f>HYPERLINK("http://www.openstreetmap.org/?mlat=34.8908&amp;mlon=43.4712&amp;zoom=12#map=12/34.8908/43.4712","Maplink1")</f>
        <v>Maplink1</v>
      </c>
      <c r="AX1891" s="104" t="str">
        <f>HYPERLINK("https://www.google.iq/maps/search/+34.8908,43.4712/@34.8908,43.4712,14z?hl=en","Maplink2")</f>
        <v>Maplink2</v>
      </c>
      <c r="AY1891" s="104" t="str">
        <f>HYPERLINK("http://www.bing.com/maps/?lvl=14&amp;sty=h&amp;cp=34.8908~43.4712&amp;sp=point.34.8908_43.4712","Maplink3")</f>
        <v>Maplink3</v>
      </c>
    </row>
    <row r="1892" spans="1:51" x14ac:dyDescent="0.2">
      <c r="A1892" s="102">
        <v>23388</v>
      </c>
      <c r="B1892" s="103" t="s">
        <v>36</v>
      </c>
      <c r="C1892" s="103" t="s">
        <v>109</v>
      </c>
      <c r="D1892" s="103" t="s">
        <v>3644</v>
      </c>
      <c r="E1892" s="103" t="s">
        <v>3645</v>
      </c>
      <c r="F1892" s="103">
        <v>34.759223810000002</v>
      </c>
      <c r="G1892" s="103">
        <v>43.6055522379</v>
      </c>
      <c r="H1892" s="102">
        <v>315</v>
      </c>
      <c r="I1892" s="102">
        <v>1890</v>
      </c>
      <c r="J1892" s="103"/>
      <c r="K1892" s="103"/>
      <c r="L1892" s="103"/>
      <c r="M1892" s="103">
        <v>315</v>
      </c>
      <c r="N1892" s="103"/>
      <c r="O1892" s="103"/>
      <c r="P1892" s="103"/>
      <c r="Q1892" s="103"/>
      <c r="R1892" s="103"/>
      <c r="S1892" s="103"/>
      <c r="T1892" s="103"/>
      <c r="U1892" s="103"/>
      <c r="V1892" s="103"/>
      <c r="W1892" s="103">
        <v>3</v>
      </c>
      <c r="X1892" s="103"/>
      <c r="Y1892" s="103"/>
      <c r="Z1892" s="103"/>
      <c r="AA1892" s="103">
        <v>50</v>
      </c>
      <c r="AB1892" s="103"/>
      <c r="AC1892" s="103">
        <v>181</v>
      </c>
      <c r="AD1892" s="103"/>
      <c r="AE1892" s="103"/>
      <c r="AF1892" s="103"/>
      <c r="AG1892" s="103"/>
      <c r="AH1892" s="103"/>
      <c r="AI1892" s="103">
        <v>31</v>
      </c>
      <c r="AJ1892" s="103">
        <v>50</v>
      </c>
      <c r="AK1892" s="103"/>
      <c r="AL1892" s="103"/>
      <c r="AM1892" s="103"/>
      <c r="AN1892" s="103">
        <v>284</v>
      </c>
      <c r="AO1892" s="103"/>
      <c r="AP1892" s="103">
        <v>14</v>
      </c>
      <c r="AQ1892" s="103"/>
      <c r="AR1892" s="103"/>
      <c r="AS1892" s="103">
        <v>17</v>
      </c>
      <c r="AT1892" s="103"/>
      <c r="AU1892" s="103"/>
      <c r="AV1892" s="103"/>
      <c r="AW1892" s="104" t="str">
        <f>HYPERLINK("http://www.openstreetmap.org/?mlat=34.7592&amp;mlon=43.6056&amp;zoom=12#map=12/34.7592/43.6056","Maplink1")</f>
        <v>Maplink1</v>
      </c>
      <c r="AX1892" s="104" t="str">
        <f>HYPERLINK("https://www.google.iq/maps/search/+34.7592,43.6056/@34.7592,43.6056,14z?hl=en","Maplink2")</f>
        <v>Maplink2</v>
      </c>
      <c r="AY1892" s="104" t="str">
        <f>HYPERLINK("http://www.bing.com/maps/?lvl=14&amp;sty=h&amp;cp=34.7592~43.6056&amp;sp=point.34.7592_43.6056","Maplink3")</f>
        <v>Maplink3</v>
      </c>
    </row>
    <row r="1893" spans="1:51" x14ac:dyDescent="0.2">
      <c r="A1893" s="102">
        <v>22581</v>
      </c>
      <c r="B1893" s="103" t="s">
        <v>36</v>
      </c>
      <c r="C1893" s="103" t="s">
        <v>109</v>
      </c>
      <c r="D1893" s="103" t="s">
        <v>3633</v>
      </c>
      <c r="E1893" s="103" t="s">
        <v>3634</v>
      </c>
      <c r="F1893" s="103">
        <v>34.935650000000003</v>
      </c>
      <c r="G1893" s="103">
        <v>43.489670877000002</v>
      </c>
      <c r="H1893" s="102">
        <v>459</v>
      </c>
      <c r="I1893" s="102">
        <v>2754</v>
      </c>
      <c r="J1893" s="103">
        <v>7</v>
      </c>
      <c r="K1893" s="103"/>
      <c r="L1893" s="103"/>
      <c r="M1893" s="103">
        <v>375</v>
      </c>
      <c r="N1893" s="103">
        <v>77</v>
      </c>
      <c r="O1893" s="103"/>
      <c r="P1893" s="103"/>
      <c r="Q1893" s="103"/>
      <c r="R1893" s="103"/>
      <c r="S1893" s="103"/>
      <c r="T1893" s="103"/>
      <c r="U1893" s="103"/>
      <c r="V1893" s="103"/>
      <c r="W1893" s="103"/>
      <c r="X1893" s="103"/>
      <c r="Y1893" s="103"/>
      <c r="Z1893" s="103"/>
      <c r="AA1893" s="103">
        <v>68</v>
      </c>
      <c r="AB1893" s="103"/>
      <c r="AC1893" s="103">
        <v>117</v>
      </c>
      <c r="AD1893" s="103"/>
      <c r="AE1893" s="103"/>
      <c r="AF1893" s="103"/>
      <c r="AG1893" s="103"/>
      <c r="AH1893" s="103"/>
      <c r="AI1893" s="103">
        <v>274</v>
      </c>
      <c r="AJ1893" s="103"/>
      <c r="AK1893" s="103"/>
      <c r="AL1893" s="103"/>
      <c r="AM1893" s="103">
        <v>17</v>
      </c>
      <c r="AN1893" s="103">
        <v>250</v>
      </c>
      <c r="AO1893" s="103">
        <v>157</v>
      </c>
      <c r="AP1893" s="103">
        <v>35</v>
      </c>
      <c r="AQ1893" s="103"/>
      <c r="AR1893" s="103"/>
      <c r="AS1893" s="103"/>
      <c r="AT1893" s="103"/>
      <c r="AU1893" s="103"/>
      <c r="AV1893" s="103"/>
      <c r="AW1893" s="104" t="str">
        <f>HYPERLINK("http://www.openstreetmap.org/?mlat=34.9357&amp;mlon=43.4897&amp;zoom=12#map=12/34.9357/43.4897","Maplink1")</f>
        <v>Maplink1</v>
      </c>
      <c r="AX1893" s="104" t="str">
        <f>HYPERLINK("https://www.google.iq/maps/search/+34.9357,43.4897/@34.9357,43.4897,14z?hl=en","Maplink2")</f>
        <v>Maplink2</v>
      </c>
      <c r="AY1893" s="104" t="str">
        <f>HYPERLINK("http://www.bing.com/maps/?lvl=14&amp;sty=h&amp;cp=34.9357~43.4897&amp;sp=point.34.9357_43.4897","Maplink3")</f>
        <v>Maplink3</v>
      </c>
    </row>
    <row r="1894" spans="1:51" x14ac:dyDescent="0.2">
      <c r="A1894" s="102">
        <v>20655</v>
      </c>
      <c r="B1894" s="103" t="s">
        <v>36</v>
      </c>
      <c r="C1894" s="103" t="s">
        <v>109</v>
      </c>
      <c r="D1894" s="103" t="s">
        <v>3635</v>
      </c>
      <c r="E1894" s="103" t="s">
        <v>3636</v>
      </c>
      <c r="F1894" s="103">
        <v>34.886529000000003</v>
      </c>
      <c r="G1894" s="103">
        <v>43.490789956100002</v>
      </c>
      <c r="H1894" s="102">
        <v>400</v>
      </c>
      <c r="I1894" s="102">
        <v>2400</v>
      </c>
      <c r="J1894" s="103"/>
      <c r="K1894" s="103"/>
      <c r="L1894" s="103"/>
      <c r="M1894" s="103">
        <v>400</v>
      </c>
      <c r="N1894" s="103"/>
      <c r="O1894" s="103"/>
      <c r="P1894" s="103"/>
      <c r="Q1894" s="103"/>
      <c r="R1894" s="103"/>
      <c r="S1894" s="103"/>
      <c r="T1894" s="103"/>
      <c r="U1894" s="103"/>
      <c r="V1894" s="103"/>
      <c r="W1894" s="103"/>
      <c r="X1894" s="103"/>
      <c r="Y1894" s="103"/>
      <c r="Z1894" s="103"/>
      <c r="AA1894" s="103"/>
      <c r="AB1894" s="103"/>
      <c r="AC1894" s="103">
        <v>20</v>
      </c>
      <c r="AD1894" s="103"/>
      <c r="AE1894" s="103"/>
      <c r="AF1894" s="103"/>
      <c r="AG1894" s="103"/>
      <c r="AH1894" s="103"/>
      <c r="AI1894" s="103">
        <v>380</v>
      </c>
      <c r="AJ1894" s="103"/>
      <c r="AK1894" s="103"/>
      <c r="AL1894" s="103"/>
      <c r="AM1894" s="103"/>
      <c r="AN1894" s="103">
        <v>260</v>
      </c>
      <c r="AO1894" s="103">
        <v>140</v>
      </c>
      <c r="AP1894" s="103"/>
      <c r="AQ1894" s="103"/>
      <c r="AR1894" s="103"/>
      <c r="AS1894" s="103"/>
      <c r="AT1894" s="103"/>
      <c r="AU1894" s="103"/>
      <c r="AV1894" s="103"/>
      <c r="AW1894" s="104" t="str">
        <f>HYPERLINK("http://www.openstreetmap.org/?mlat=34.8865&amp;mlon=43.4908&amp;zoom=12#map=12/34.8865/43.4908","Maplink1")</f>
        <v>Maplink1</v>
      </c>
      <c r="AX1894" s="104" t="str">
        <f>HYPERLINK("https://www.google.iq/maps/search/+34.8865,43.4908/@34.8865,43.4908,14z?hl=en","Maplink2")</f>
        <v>Maplink2</v>
      </c>
      <c r="AY1894" s="104" t="str">
        <f>HYPERLINK("http://www.bing.com/maps/?lvl=14&amp;sty=h&amp;cp=34.8865~43.4908&amp;sp=point.34.8865_43.4908","Maplink3")</f>
        <v>Maplink3</v>
      </c>
    </row>
    <row r="1895" spans="1:51" x14ac:dyDescent="0.2">
      <c r="A1895" s="102">
        <v>33791</v>
      </c>
      <c r="B1895" s="103" t="s">
        <v>36</v>
      </c>
      <c r="C1895" s="103" t="s">
        <v>109</v>
      </c>
      <c r="D1895" s="103" t="s">
        <v>3637</v>
      </c>
      <c r="E1895" s="103" t="s">
        <v>3638</v>
      </c>
      <c r="F1895" s="103">
        <v>34.564</v>
      </c>
      <c r="G1895" s="103">
        <v>43.293799999999997</v>
      </c>
      <c r="H1895" s="102">
        <v>280</v>
      </c>
      <c r="I1895" s="102">
        <v>1680</v>
      </c>
      <c r="J1895" s="103"/>
      <c r="K1895" s="103"/>
      <c r="L1895" s="103"/>
      <c r="M1895" s="103">
        <v>187</v>
      </c>
      <c r="N1895" s="103">
        <v>83</v>
      </c>
      <c r="O1895" s="103"/>
      <c r="P1895" s="103">
        <v>10</v>
      </c>
      <c r="Q1895" s="103"/>
      <c r="R1895" s="103"/>
      <c r="S1895" s="103"/>
      <c r="T1895" s="103"/>
      <c r="U1895" s="103"/>
      <c r="V1895" s="103"/>
      <c r="W1895" s="103">
        <v>10</v>
      </c>
      <c r="X1895" s="103">
        <v>10</v>
      </c>
      <c r="Y1895" s="103"/>
      <c r="Z1895" s="103"/>
      <c r="AA1895" s="103">
        <v>15</v>
      </c>
      <c r="AB1895" s="103"/>
      <c r="AC1895" s="103">
        <v>45</v>
      </c>
      <c r="AD1895" s="103"/>
      <c r="AE1895" s="103"/>
      <c r="AF1895" s="103"/>
      <c r="AG1895" s="103">
        <v>10</v>
      </c>
      <c r="AH1895" s="103"/>
      <c r="AI1895" s="103">
        <v>170</v>
      </c>
      <c r="AJ1895" s="103">
        <v>20</v>
      </c>
      <c r="AK1895" s="103"/>
      <c r="AL1895" s="103"/>
      <c r="AM1895" s="103"/>
      <c r="AN1895" s="103">
        <v>190</v>
      </c>
      <c r="AO1895" s="103">
        <v>90</v>
      </c>
      <c r="AP1895" s="103"/>
      <c r="AQ1895" s="103"/>
      <c r="AR1895" s="103"/>
      <c r="AS1895" s="103"/>
      <c r="AT1895" s="103"/>
      <c r="AU1895" s="103"/>
      <c r="AV1895" s="103"/>
      <c r="AW1895" s="104" t="str">
        <f>HYPERLINK("http://www.openstreetmap.org/?mlat=34.564&amp;mlon=43.2938&amp;zoom=12#map=12/34.564/43.2938","Maplink1")</f>
        <v>Maplink1</v>
      </c>
      <c r="AX1895" s="104" t="str">
        <f>HYPERLINK("https://www.google.iq/maps/search/+34.564,43.2938/@34.564,43.2938,14z?hl=en","Maplink2")</f>
        <v>Maplink2</v>
      </c>
      <c r="AY1895" s="104" t="str">
        <f>HYPERLINK("http://www.bing.com/maps/?lvl=14&amp;sty=h&amp;cp=34.564~43.2938&amp;sp=point.34.564_43.2938","Maplink3")</f>
        <v>Maplink3</v>
      </c>
    </row>
    <row r="1896" spans="1:51" x14ac:dyDescent="0.2">
      <c r="A1896" s="102">
        <v>24304</v>
      </c>
      <c r="B1896" s="103" t="s">
        <v>36</v>
      </c>
      <c r="C1896" s="103" t="s">
        <v>109</v>
      </c>
      <c r="D1896" s="103" t="s">
        <v>3653</v>
      </c>
      <c r="E1896" s="103" t="s">
        <v>3654</v>
      </c>
      <c r="F1896" s="103">
        <v>35.185783000000001</v>
      </c>
      <c r="G1896" s="103">
        <v>43.413113424999999</v>
      </c>
      <c r="H1896" s="102">
        <v>882</v>
      </c>
      <c r="I1896" s="102">
        <v>5292</v>
      </c>
      <c r="J1896" s="103"/>
      <c r="K1896" s="103"/>
      <c r="L1896" s="103">
        <v>5</v>
      </c>
      <c r="M1896" s="103">
        <v>860</v>
      </c>
      <c r="N1896" s="103">
        <v>17</v>
      </c>
      <c r="O1896" s="103"/>
      <c r="P1896" s="103"/>
      <c r="Q1896" s="103"/>
      <c r="R1896" s="103"/>
      <c r="S1896" s="103"/>
      <c r="T1896" s="103"/>
      <c r="U1896" s="103"/>
      <c r="V1896" s="103"/>
      <c r="W1896" s="103"/>
      <c r="X1896" s="103"/>
      <c r="Y1896" s="103"/>
      <c r="Z1896" s="103"/>
      <c r="AA1896" s="103">
        <v>240</v>
      </c>
      <c r="AB1896" s="103"/>
      <c r="AC1896" s="103">
        <v>204</v>
      </c>
      <c r="AD1896" s="103"/>
      <c r="AE1896" s="103"/>
      <c r="AF1896" s="103"/>
      <c r="AG1896" s="103"/>
      <c r="AH1896" s="103"/>
      <c r="AI1896" s="103">
        <v>438</v>
      </c>
      <c r="AJ1896" s="103"/>
      <c r="AK1896" s="103"/>
      <c r="AL1896" s="103"/>
      <c r="AM1896" s="103"/>
      <c r="AN1896" s="103">
        <v>482</v>
      </c>
      <c r="AO1896" s="103">
        <v>400</v>
      </c>
      <c r="AP1896" s="103"/>
      <c r="AQ1896" s="103"/>
      <c r="AR1896" s="103"/>
      <c r="AS1896" s="103"/>
      <c r="AT1896" s="103"/>
      <c r="AU1896" s="103"/>
      <c r="AV1896" s="103"/>
      <c r="AW1896" s="104" t="str">
        <f>HYPERLINK("http://www.openstreetmap.org/?mlat=35.1858&amp;mlon=43.4131&amp;zoom=12#map=12/35.1858/43.4131","Maplink1")</f>
        <v>Maplink1</v>
      </c>
      <c r="AX1896" s="104" t="str">
        <f>HYPERLINK("https://www.google.iq/maps/search/+35.1858,43.4131/@35.1858,43.4131,14z?hl=en","Maplink2")</f>
        <v>Maplink2</v>
      </c>
      <c r="AY1896" s="104" t="str">
        <f>HYPERLINK("http://www.bing.com/maps/?lvl=14&amp;sty=h&amp;cp=35.1858~43.4131&amp;sp=point.35.1858_43.4131","Maplink3")</f>
        <v>Maplink3</v>
      </c>
    </row>
    <row r="1897" spans="1:51" x14ac:dyDescent="0.2">
      <c r="A1897" s="102">
        <v>20601</v>
      </c>
      <c r="B1897" s="103" t="s">
        <v>36</v>
      </c>
      <c r="C1897" s="103" t="s">
        <v>109</v>
      </c>
      <c r="D1897" s="103" t="s">
        <v>3655</v>
      </c>
      <c r="E1897" s="103" t="s">
        <v>3656</v>
      </c>
      <c r="F1897" s="103">
        <v>34.927652000000002</v>
      </c>
      <c r="G1897" s="103">
        <v>43.477982423900002</v>
      </c>
      <c r="H1897" s="102">
        <v>170</v>
      </c>
      <c r="I1897" s="102">
        <v>1020</v>
      </c>
      <c r="J1897" s="103"/>
      <c r="K1897" s="103"/>
      <c r="L1897" s="103"/>
      <c r="M1897" s="103">
        <v>136</v>
      </c>
      <c r="N1897" s="103">
        <v>34</v>
      </c>
      <c r="O1897" s="103"/>
      <c r="P1897" s="103"/>
      <c r="Q1897" s="103"/>
      <c r="R1897" s="103"/>
      <c r="S1897" s="103"/>
      <c r="T1897" s="103"/>
      <c r="U1897" s="103"/>
      <c r="V1897" s="103"/>
      <c r="W1897" s="103"/>
      <c r="X1897" s="103"/>
      <c r="Y1897" s="103">
        <v>13</v>
      </c>
      <c r="Z1897" s="103"/>
      <c r="AA1897" s="103">
        <v>20</v>
      </c>
      <c r="AB1897" s="103"/>
      <c r="AC1897" s="103">
        <v>15</v>
      </c>
      <c r="AD1897" s="103"/>
      <c r="AE1897" s="103"/>
      <c r="AF1897" s="103"/>
      <c r="AG1897" s="103"/>
      <c r="AH1897" s="103"/>
      <c r="AI1897" s="103">
        <v>122</v>
      </c>
      <c r="AJ1897" s="103"/>
      <c r="AK1897" s="103"/>
      <c r="AL1897" s="103"/>
      <c r="AM1897" s="103">
        <v>45</v>
      </c>
      <c r="AN1897" s="103">
        <v>110</v>
      </c>
      <c r="AO1897" s="103">
        <v>15</v>
      </c>
      <c r="AP1897" s="103"/>
      <c r="AQ1897" s="103"/>
      <c r="AR1897" s="103"/>
      <c r="AS1897" s="103"/>
      <c r="AT1897" s="103"/>
      <c r="AU1897" s="103"/>
      <c r="AV1897" s="103"/>
      <c r="AW1897" s="104" t="str">
        <f>HYPERLINK("http://www.openstreetmap.org/?mlat=34.9277&amp;mlon=43.478&amp;zoom=12#map=12/34.9277/43.478","Maplink1")</f>
        <v>Maplink1</v>
      </c>
      <c r="AX1897" s="104" t="str">
        <f>HYPERLINK("https://www.google.iq/maps/search/+34.9277,43.478/@34.9277,43.478,14z?hl=en","Maplink2")</f>
        <v>Maplink2</v>
      </c>
      <c r="AY1897" s="104" t="str">
        <f>HYPERLINK("http://www.bing.com/maps/?lvl=14&amp;sty=h&amp;cp=34.9277~43.478&amp;sp=point.34.9277_43.478","Maplink3")</f>
        <v>Maplink3</v>
      </c>
    </row>
    <row r="1898" spans="1:51" x14ac:dyDescent="0.2">
      <c r="A1898" s="102">
        <v>20607</v>
      </c>
      <c r="B1898" s="103" t="s">
        <v>36</v>
      </c>
      <c r="C1898" s="103" t="s">
        <v>109</v>
      </c>
      <c r="D1898" s="103" t="s">
        <v>3657</v>
      </c>
      <c r="E1898" s="103" t="s">
        <v>351</v>
      </c>
      <c r="F1898" s="103">
        <v>34.926822000000001</v>
      </c>
      <c r="G1898" s="103">
        <v>43.491487640000003</v>
      </c>
      <c r="H1898" s="102">
        <v>396</v>
      </c>
      <c r="I1898" s="102">
        <v>2376</v>
      </c>
      <c r="J1898" s="103">
        <v>7</v>
      </c>
      <c r="K1898" s="103"/>
      <c r="L1898" s="103"/>
      <c r="M1898" s="103">
        <v>359</v>
      </c>
      <c r="N1898" s="103">
        <v>30</v>
      </c>
      <c r="O1898" s="103"/>
      <c r="P1898" s="103"/>
      <c r="Q1898" s="103"/>
      <c r="R1898" s="103"/>
      <c r="S1898" s="103"/>
      <c r="T1898" s="103"/>
      <c r="U1898" s="103"/>
      <c r="V1898" s="103"/>
      <c r="W1898" s="103"/>
      <c r="X1898" s="103"/>
      <c r="Y1898" s="103"/>
      <c r="Z1898" s="103"/>
      <c r="AA1898" s="103">
        <v>60</v>
      </c>
      <c r="AB1898" s="103"/>
      <c r="AC1898" s="103">
        <v>103</v>
      </c>
      <c r="AD1898" s="103"/>
      <c r="AE1898" s="103"/>
      <c r="AF1898" s="103"/>
      <c r="AG1898" s="103"/>
      <c r="AH1898" s="103"/>
      <c r="AI1898" s="103">
        <v>233</v>
      </c>
      <c r="AJ1898" s="103"/>
      <c r="AK1898" s="103"/>
      <c r="AL1898" s="103"/>
      <c r="AM1898" s="103">
        <v>10</v>
      </c>
      <c r="AN1898" s="103">
        <v>221</v>
      </c>
      <c r="AO1898" s="103">
        <v>133</v>
      </c>
      <c r="AP1898" s="103">
        <v>32</v>
      </c>
      <c r="AQ1898" s="103"/>
      <c r="AR1898" s="103"/>
      <c r="AS1898" s="103"/>
      <c r="AT1898" s="103"/>
      <c r="AU1898" s="103"/>
      <c r="AV1898" s="103"/>
      <c r="AW1898" s="104" t="str">
        <f>HYPERLINK("http://www.openstreetmap.org/?mlat=34.9268&amp;mlon=43.4915&amp;zoom=12#map=12/34.9268/43.4915","Maplink1")</f>
        <v>Maplink1</v>
      </c>
      <c r="AX1898" s="104" t="str">
        <f>HYPERLINK("https://www.google.iq/maps/search/+34.9268,43.4915/@34.9268,43.4915,14z?hl=en","Maplink2")</f>
        <v>Maplink2</v>
      </c>
      <c r="AY1898" s="104" t="str">
        <f>HYPERLINK("http://www.bing.com/maps/?lvl=14&amp;sty=h&amp;cp=34.9268~43.4915&amp;sp=point.34.9268_43.4915","Maplink3")</f>
        <v>Maplink3</v>
      </c>
    </row>
    <row r="1899" spans="1:51" x14ac:dyDescent="0.2">
      <c r="A1899" s="102">
        <v>33434</v>
      </c>
      <c r="B1899" s="103" t="s">
        <v>36</v>
      </c>
      <c r="C1899" s="103" t="s">
        <v>109</v>
      </c>
      <c r="D1899" s="103" t="s">
        <v>3658</v>
      </c>
      <c r="E1899" s="103" t="s">
        <v>3659</v>
      </c>
      <c r="F1899" s="103">
        <v>35.1807187</v>
      </c>
      <c r="G1899" s="103">
        <v>43.292541593999999</v>
      </c>
      <c r="H1899" s="102">
        <v>412</v>
      </c>
      <c r="I1899" s="102">
        <v>2472</v>
      </c>
      <c r="J1899" s="103">
        <v>41</v>
      </c>
      <c r="K1899" s="103"/>
      <c r="L1899" s="103"/>
      <c r="M1899" s="103">
        <v>350</v>
      </c>
      <c r="N1899" s="103">
        <v>21</v>
      </c>
      <c r="O1899" s="103"/>
      <c r="P1899" s="103"/>
      <c r="Q1899" s="103"/>
      <c r="R1899" s="103"/>
      <c r="S1899" s="103"/>
      <c r="T1899" s="103"/>
      <c r="U1899" s="103"/>
      <c r="V1899" s="103"/>
      <c r="W1899" s="103"/>
      <c r="X1899" s="103"/>
      <c r="Y1899" s="103"/>
      <c r="Z1899" s="103"/>
      <c r="AA1899" s="103">
        <v>155</v>
      </c>
      <c r="AB1899" s="103"/>
      <c r="AC1899" s="103">
        <v>75</v>
      </c>
      <c r="AD1899" s="103"/>
      <c r="AE1899" s="103"/>
      <c r="AF1899" s="103"/>
      <c r="AG1899" s="103">
        <v>28</v>
      </c>
      <c r="AH1899" s="103"/>
      <c r="AI1899" s="103">
        <v>144</v>
      </c>
      <c r="AJ1899" s="103">
        <v>10</v>
      </c>
      <c r="AK1899" s="103"/>
      <c r="AL1899" s="103"/>
      <c r="AM1899" s="103"/>
      <c r="AN1899" s="103">
        <v>169</v>
      </c>
      <c r="AO1899" s="103">
        <v>191</v>
      </c>
      <c r="AP1899" s="103">
        <v>52</v>
      </c>
      <c r="AQ1899" s="103"/>
      <c r="AR1899" s="103"/>
      <c r="AS1899" s="103"/>
      <c r="AT1899" s="103"/>
      <c r="AU1899" s="103"/>
      <c r="AV1899" s="103"/>
      <c r="AW1899" s="104" t="str">
        <f>HYPERLINK("http://www.openstreetmap.org/?mlat=35.1807&amp;mlon=43.2925&amp;zoom=12#map=12/35.1807/43.2925","Maplink1")</f>
        <v>Maplink1</v>
      </c>
      <c r="AX1899" s="104" t="str">
        <f>HYPERLINK("https://www.google.iq/maps/search/+35.1807,43.2925/@35.1807,43.2925,14z?hl=en","Maplink2")</f>
        <v>Maplink2</v>
      </c>
      <c r="AY1899" s="104" t="str">
        <f>HYPERLINK("http://www.bing.com/maps/?lvl=14&amp;sty=h&amp;cp=35.1807~43.2925&amp;sp=point.35.1807_43.2925","Maplink3")</f>
        <v>Maplink3</v>
      </c>
    </row>
    <row r="1900" spans="1:51" x14ac:dyDescent="0.2">
      <c r="A1900" s="102">
        <v>33501</v>
      </c>
      <c r="B1900" s="103" t="s">
        <v>36</v>
      </c>
      <c r="C1900" s="103" t="s">
        <v>109</v>
      </c>
      <c r="D1900" s="103" t="s">
        <v>3660</v>
      </c>
      <c r="E1900" s="103" t="s">
        <v>3661</v>
      </c>
      <c r="F1900" s="103">
        <v>34.923655400000001</v>
      </c>
      <c r="G1900" s="103">
        <v>43.495631189999997</v>
      </c>
      <c r="H1900" s="102">
        <v>215</v>
      </c>
      <c r="I1900" s="102">
        <v>1290</v>
      </c>
      <c r="J1900" s="103"/>
      <c r="K1900" s="103"/>
      <c r="L1900" s="103"/>
      <c r="M1900" s="103">
        <v>170</v>
      </c>
      <c r="N1900" s="103">
        <v>45</v>
      </c>
      <c r="O1900" s="103"/>
      <c r="P1900" s="103"/>
      <c r="Q1900" s="103"/>
      <c r="R1900" s="103"/>
      <c r="S1900" s="103"/>
      <c r="T1900" s="103"/>
      <c r="U1900" s="103"/>
      <c r="V1900" s="103"/>
      <c r="W1900" s="103"/>
      <c r="X1900" s="103"/>
      <c r="Y1900" s="103"/>
      <c r="Z1900" s="103"/>
      <c r="AA1900" s="103">
        <v>20</v>
      </c>
      <c r="AB1900" s="103"/>
      <c r="AC1900" s="103">
        <v>20</v>
      </c>
      <c r="AD1900" s="103"/>
      <c r="AE1900" s="103"/>
      <c r="AF1900" s="103"/>
      <c r="AG1900" s="103">
        <v>19</v>
      </c>
      <c r="AH1900" s="103"/>
      <c r="AI1900" s="103">
        <v>156</v>
      </c>
      <c r="AJ1900" s="103"/>
      <c r="AK1900" s="103"/>
      <c r="AL1900" s="103"/>
      <c r="AM1900" s="103"/>
      <c r="AN1900" s="103">
        <v>116</v>
      </c>
      <c r="AO1900" s="103">
        <v>99</v>
      </c>
      <c r="AP1900" s="103"/>
      <c r="AQ1900" s="103"/>
      <c r="AR1900" s="103"/>
      <c r="AS1900" s="103"/>
      <c r="AT1900" s="103"/>
      <c r="AU1900" s="103"/>
      <c r="AV1900" s="103"/>
      <c r="AW1900" s="104" t="str">
        <f>HYPERLINK("http://www.openstreetmap.org/?mlat=34.9237&amp;mlon=43.4956&amp;zoom=12#map=12/34.9237/43.4956","Maplink1")</f>
        <v>Maplink1</v>
      </c>
      <c r="AX1900" s="104" t="str">
        <f>HYPERLINK("https://www.google.iq/maps/search/+34.9237,43.4956/@34.9237,43.4956,14z?hl=en","Maplink2")</f>
        <v>Maplink2</v>
      </c>
      <c r="AY1900" s="104" t="str">
        <f>HYPERLINK("http://www.bing.com/maps/?lvl=14&amp;sty=h&amp;cp=34.9237~43.4956&amp;sp=point.34.9237_43.4956","Maplink3")</f>
        <v>Maplink3</v>
      </c>
    </row>
    <row r="1901" spans="1:51" x14ac:dyDescent="0.2">
      <c r="A1901" s="102">
        <v>32099</v>
      </c>
      <c r="B1901" s="103" t="s">
        <v>36</v>
      </c>
      <c r="C1901" s="103" t="s">
        <v>109</v>
      </c>
      <c r="D1901" s="103" t="s">
        <v>3648</v>
      </c>
      <c r="E1901" s="103" t="s">
        <v>3649</v>
      </c>
      <c r="F1901" s="103">
        <v>34.923888890000001</v>
      </c>
      <c r="G1901" s="103">
        <v>43.495775162000001</v>
      </c>
      <c r="H1901" s="102">
        <v>428</v>
      </c>
      <c r="I1901" s="102">
        <v>2568</v>
      </c>
      <c r="J1901" s="103"/>
      <c r="K1901" s="103"/>
      <c r="L1901" s="103">
        <v>83</v>
      </c>
      <c r="M1901" s="103">
        <v>305</v>
      </c>
      <c r="N1901" s="103">
        <v>40</v>
      </c>
      <c r="O1901" s="103"/>
      <c r="P1901" s="103"/>
      <c r="Q1901" s="103"/>
      <c r="R1901" s="103"/>
      <c r="S1901" s="103"/>
      <c r="T1901" s="103"/>
      <c r="U1901" s="103"/>
      <c r="V1901" s="103"/>
      <c r="W1901" s="103"/>
      <c r="X1901" s="103"/>
      <c r="Y1901" s="103"/>
      <c r="Z1901" s="103"/>
      <c r="AA1901" s="103">
        <v>51</v>
      </c>
      <c r="AB1901" s="103"/>
      <c r="AC1901" s="103">
        <v>30</v>
      </c>
      <c r="AD1901" s="103"/>
      <c r="AE1901" s="103"/>
      <c r="AF1901" s="103"/>
      <c r="AG1901" s="103"/>
      <c r="AH1901" s="103"/>
      <c r="AI1901" s="103">
        <v>320</v>
      </c>
      <c r="AJ1901" s="103">
        <v>27</v>
      </c>
      <c r="AK1901" s="103"/>
      <c r="AL1901" s="103"/>
      <c r="AM1901" s="103">
        <v>15</v>
      </c>
      <c r="AN1901" s="103">
        <v>310</v>
      </c>
      <c r="AO1901" s="103">
        <v>103</v>
      </c>
      <c r="AP1901" s="103"/>
      <c r="AQ1901" s="103"/>
      <c r="AR1901" s="103"/>
      <c r="AS1901" s="103"/>
      <c r="AT1901" s="103"/>
      <c r="AU1901" s="103"/>
      <c r="AV1901" s="103"/>
      <c r="AW1901" s="104" t="str">
        <f>HYPERLINK("http://www.openstreetmap.org/?mlat=34.9239&amp;mlon=43.4958&amp;zoom=12#map=12/34.9239/43.4958","Maplink1")</f>
        <v>Maplink1</v>
      </c>
      <c r="AX1901" s="104" t="str">
        <f>HYPERLINK("https://www.google.iq/maps/search/+34.9239,43.4958/@34.9239,43.4958,14z?hl=en","Maplink2")</f>
        <v>Maplink2</v>
      </c>
      <c r="AY1901" s="104" t="str">
        <f>HYPERLINK("http://www.bing.com/maps/?lvl=14&amp;sty=h&amp;cp=34.9239~43.4958&amp;sp=point.34.9239_43.4958","Maplink3")</f>
        <v>Maplink3</v>
      </c>
    </row>
    <row r="1902" spans="1:51" x14ac:dyDescent="0.2">
      <c r="A1902" s="102">
        <v>22968</v>
      </c>
      <c r="B1902" s="103" t="s">
        <v>36</v>
      </c>
      <c r="C1902" s="103" t="s">
        <v>109</v>
      </c>
      <c r="D1902" s="103" t="s">
        <v>3641</v>
      </c>
      <c r="E1902" s="103" t="s">
        <v>3518</v>
      </c>
      <c r="F1902" s="103">
        <v>35.119601000000003</v>
      </c>
      <c r="G1902" s="103">
        <v>43.461579809</v>
      </c>
      <c r="H1902" s="102">
        <v>90</v>
      </c>
      <c r="I1902" s="102">
        <v>540</v>
      </c>
      <c r="J1902" s="103"/>
      <c r="K1902" s="103"/>
      <c r="L1902" s="103"/>
      <c r="M1902" s="103">
        <v>81</v>
      </c>
      <c r="N1902" s="103">
        <v>9</v>
      </c>
      <c r="O1902" s="103"/>
      <c r="P1902" s="103"/>
      <c r="Q1902" s="103"/>
      <c r="R1902" s="103"/>
      <c r="S1902" s="103"/>
      <c r="T1902" s="103"/>
      <c r="U1902" s="103"/>
      <c r="V1902" s="103"/>
      <c r="W1902" s="103"/>
      <c r="X1902" s="103"/>
      <c r="Y1902" s="103"/>
      <c r="Z1902" s="103"/>
      <c r="AA1902" s="103"/>
      <c r="AB1902" s="103"/>
      <c r="AC1902" s="103">
        <v>20</v>
      </c>
      <c r="AD1902" s="103"/>
      <c r="AE1902" s="103"/>
      <c r="AF1902" s="103"/>
      <c r="AG1902" s="103"/>
      <c r="AH1902" s="103"/>
      <c r="AI1902" s="103">
        <v>53</v>
      </c>
      <c r="AJ1902" s="103">
        <v>17</v>
      </c>
      <c r="AK1902" s="103"/>
      <c r="AL1902" s="103"/>
      <c r="AM1902" s="103"/>
      <c r="AN1902" s="103">
        <v>10</v>
      </c>
      <c r="AO1902" s="103">
        <v>42</v>
      </c>
      <c r="AP1902" s="103">
        <v>38</v>
      </c>
      <c r="AQ1902" s="103"/>
      <c r="AR1902" s="103"/>
      <c r="AS1902" s="103"/>
      <c r="AT1902" s="103"/>
      <c r="AU1902" s="103"/>
      <c r="AV1902" s="103"/>
      <c r="AW1902" s="104" t="str">
        <f>HYPERLINK("http://www.openstreetmap.org/?mlat=35.1196&amp;mlon=43.4616&amp;zoom=12#map=12/35.1196/43.4616","Maplink1")</f>
        <v>Maplink1</v>
      </c>
      <c r="AX1902" s="104" t="str">
        <f>HYPERLINK("https://www.google.iq/maps/search/+35.1196,43.4616/@35.1196,43.4616,14z?hl=en","Maplink2")</f>
        <v>Maplink2</v>
      </c>
      <c r="AY1902" s="104" t="str">
        <f>HYPERLINK("http://www.bing.com/maps/?lvl=14&amp;sty=h&amp;cp=35.1196~43.4616&amp;sp=point.35.1196_43.4616","Maplink3")</f>
        <v>Maplink3</v>
      </c>
    </row>
    <row r="1903" spans="1:51" x14ac:dyDescent="0.2">
      <c r="A1903" s="102">
        <v>33499</v>
      </c>
      <c r="B1903" s="103" t="s">
        <v>36</v>
      </c>
      <c r="C1903" s="103" t="s">
        <v>109</v>
      </c>
      <c r="D1903" s="103" t="s">
        <v>3646</v>
      </c>
      <c r="E1903" s="103" t="s">
        <v>3647</v>
      </c>
      <c r="F1903" s="103">
        <v>34.935336</v>
      </c>
      <c r="G1903" s="103">
        <v>43.514488125200003</v>
      </c>
      <c r="H1903" s="102">
        <v>381</v>
      </c>
      <c r="I1903" s="102">
        <v>2286</v>
      </c>
      <c r="J1903" s="103"/>
      <c r="K1903" s="103"/>
      <c r="L1903" s="103"/>
      <c r="M1903" s="103">
        <v>323</v>
      </c>
      <c r="N1903" s="103">
        <v>58</v>
      </c>
      <c r="O1903" s="103"/>
      <c r="P1903" s="103"/>
      <c r="Q1903" s="103"/>
      <c r="R1903" s="103"/>
      <c r="S1903" s="103"/>
      <c r="T1903" s="103"/>
      <c r="U1903" s="103"/>
      <c r="V1903" s="103"/>
      <c r="W1903" s="103"/>
      <c r="X1903" s="103"/>
      <c r="Y1903" s="103"/>
      <c r="Z1903" s="103"/>
      <c r="AA1903" s="103">
        <v>63</v>
      </c>
      <c r="AB1903" s="103"/>
      <c r="AC1903" s="103">
        <v>18</v>
      </c>
      <c r="AD1903" s="103"/>
      <c r="AE1903" s="103"/>
      <c r="AF1903" s="103"/>
      <c r="AG1903" s="103">
        <v>11</v>
      </c>
      <c r="AH1903" s="103"/>
      <c r="AI1903" s="103">
        <v>275</v>
      </c>
      <c r="AJ1903" s="103">
        <v>14</v>
      </c>
      <c r="AK1903" s="103"/>
      <c r="AL1903" s="103"/>
      <c r="AM1903" s="103"/>
      <c r="AN1903" s="103">
        <v>165</v>
      </c>
      <c r="AO1903" s="103">
        <v>216</v>
      </c>
      <c r="AP1903" s="103"/>
      <c r="AQ1903" s="103"/>
      <c r="AR1903" s="103"/>
      <c r="AS1903" s="103"/>
      <c r="AT1903" s="103"/>
      <c r="AU1903" s="103"/>
      <c r="AV1903" s="103"/>
      <c r="AW1903" s="104" t="str">
        <f>HYPERLINK("http://www.openstreetmap.org/?mlat=34.9353&amp;mlon=43.5145&amp;zoom=12#map=12/34.9353/43.5145","Maplink1")</f>
        <v>Maplink1</v>
      </c>
      <c r="AX1903" s="104" t="str">
        <f>HYPERLINK("https://www.google.iq/maps/search/+34.9353,43.5145/@34.9353,43.5145,14z?hl=en","Maplink2")</f>
        <v>Maplink2</v>
      </c>
      <c r="AY1903" s="104" t="str">
        <f>HYPERLINK("http://www.bing.com/maps/?lvl=14&amp;sty=h&amp;cp=34.9353~43.5145&amp;sp=point.34.9353_43.5145","Maplink3")</f>
        <v>Maplink3</v>
      </c>
    </row>
    <row r="1904" spans="1:51" x14ac:dyDescent="0.2">
      <c r="A1904" s="102">
        <v>33368</v>
      </c>
      <c r="B1904" s="103" t="s">
        <v>36</v>
      </c>
      <c r="C1904" s="103" t="s">
        <v>109</v>
      </c>
      <c r="D1904" s="103" t="s">
        <v>3627</v>
      </c>
      <c r="E1904" s="103" t="s">
        <v>3628</v>
      </c>
      <c r="F1904" s="103">
        <v>34.907980000000002</v>
      </c>
      <c r="G1904" s="103">
        <v>43.486213716000002</v>
      </c>
      <c r="H1904" s="102">
        <v>210</v>
      </c>
      <c r="I1904" s="102">
        <v>1260</v>
      </c>
      <c r="J1904" s="103"/>
      <c r="K1904" s="103"/>
      <c r="L1904" s="103"/>
      <c r="M1904" s="103">
        <v>175</v>
      </c>
      <c r="N1904" s="103">
        <v>35</v>
      </c>
      <c r="O1904" s="103"/>
      <c r="P1904" s="103"/>
      <c r="Q1904" s="103"/>
      <c r="R1904" s="103"/>
      <c r="S1904" s="103"/>
      <c r="T1904" s="103"/>
      <c r="U1904" s="103"/>
      <c r="V1904" s="103"/>
      <c r="W1904" s="103"/>
      <c r="X1904" s="103"/>
      <c r="Y1904" s="103"/>
      <c r="Z1904" s="103"/>
      <c r="AA1904" s="103">
        <v>40</v>
      </c>
      <c r="AB1904" s="103"/>
      <c r="AC1904" s="103">
        <v>40</v>
      </c>
      <c r="AD1904" s="103"/>
      <c r="AE1904" s="103"/>
      <c r="AF1904" s="103"/>
      <c r="AG1904" s="103"/>
      <c r="AH1904" s="103"/>
      <c r="AI1904" s="103">
        <v>130</v>
      </c>
      <c r="AJ1904" s="103"/>
      <c r="AK1904" s="103"/>
      <c r="AL1904" s="103"/>
      <c r="AM1904" s="103">
        <v>70</v>
      </c>
      <c r="AN1904" s="103">
        <v>80</v>
      </c>
      <c r="AO1904" s="103">
        <v>50</v>
      </c>
      <c r="AP1904" s="103">
        <v>10</v>
      </c>
      <c r="AQ1904" s="103"/>
      <c r="AR1904" s="103"/>
      <c r="AS1904" s="103"/>
      <c r="AT1904" s="103"/>
      <c r="AU1904" s="103"/>
      <c r="AV1904" s="103"/>
      <c r="AW1904" s="104" t="str">
        <f>HYPERLINK("http://www.openstreetmap.org/?mlat=34.908&amp;mlon=43.4862&amp;zoom=12#map=12/34.908/43.4862","Maplink1")</f>
        <v>Maplink1</v>
      </c>
      <c r="AX1904" s="104" t="str">
        <f>HYPERLINK("https://www.google.iq/maps/search/+34.908,43.4862/@34.908,43.4862,14z?hl=en","Maplink2")</f>
        <v>Maplink2</v>
      </c>
      <c r="AY1904" s="104" t="str">
        <f>HYPERLINK("http://www.bing.com/maps/?lvl=14&amp;sty=h&amp;cp=34.908~43.4862&amp;sp=point.34.908_43.4862","Maplink3")</f>
        <v>Maplink3</v>
      </c>
    </row>
    <row r="1905" spans="1:51" x14ac:dyDescent="0.2">
      <c r="A1905" s="102">
        <v>23436</v>
      </c>
      <c r="B1905" s="103" t="s">
        <v>36</v>
      </c>
      <c r="C1905" s="103" t="s">
        <v>109</v>
      </c>
      <c r="D1905" s="103" t="s">
        <v>3629</v>
      </c>
      <c r="E1905" s="103" t="s">
        <v>3630</v>
      </c>
      <c r="F1905" s="103">
        <v>34.933482599999998</v>
      </c>
      <c r="G1905" s="103">
        <v>43.505851614999997</v>
      </c>
      <c r="H1905" s="102">
        <v>230</v>
      </c>
      <c r="I1905" s="102">
        <v>1380</v>
      </c>
      <c r="J1905" s="103"/>
      <c r="K1905" s="103"/>
      <c r="L1905" s="103"/>
      <c r="M1905" s="103">
        <v>185</v>
      </c>
      <c r="N1905" s="103">
        <v>45</v>
      </c>
      <c r="O1905" s="103"/>
      <c r="P1905" s="103"/>
      <c r="Q1905" s="103"/>
      <c r="R1905" s="103"/>
      <c r="S1905" s="103"/>
      <c r="T1905" s="103"/>
      <c r="U1905" s="103"/>
      <c r="V1905" s="103"/>
      <c r="W1905" s="103"/>
      <c r="X1905" s="103"/>
      <c r="Y1905" s="103"/>
      <c r="Z1905" s="103"/>
      <c r="AA1905" s="103">
        <v>47</v>
      </c>
      <c r="AB1905" s="103"/>
      <c r="AC1905" s="103">
        <v>53</v>
      </c>
      <c r="AD1905" s="103"/>
      <c r="AE1905" s="103"/>
      <c r="AF1905" s="103"/>
      <c r="AG1905" s="103"/>
      <c r="AH1905" s="103"/>
      <c r="AI1905" s="103">
        <v>125</v>
      </c>
      <c r="AJ1905" s="103">
        <v>5</v>
      </c>
      <c r="AK1905" s="103"/>
      <c r="AL1905" s="103"/>
      <c r="AM1905" s="103">
        <v>5</v>
      </c>
      <c r="AN1905" s="103">
        <v>175</v>
      </c>
      <c r="AO1905" s="103">
        <v>50</v>
      </c>
      <c r="AP1905" s="103"/>
      <c r="AQ1905" s="103"/>
      <c r="AR1905" s="103"/>
      <c r="AS1905" s="103"/>
      <c r="AT1905" s="103"/>
      <c r="AU1905" s="103"/>
      <c r="AV1905" s="103"/>
      <c r="AW1905" s="104" t="str">
        <f>HYPERLINK("http://www.openstreetmap.org/?mlat=34.9335&amp;mlon=43.5059&amp;zoom=12#map=12/34.9335/43.5059","Maplink1")</f>
        <v>Maplink1</v>
      </c>
      <c r="AX1905" s="104" t="str">
        <f>HYPERLINK("https://www.google.iq/maps/search/+34.9335,43.5059/@34.9335,43.5059,14z?hl=en","Maplink2")</f>
        <v>Maplink2</v>
      </c>
      <c r="AY1905" s="104" t="str">
        <f>HYPERLINK("http://www.bing.com/maps/?lvl=14&amp;sty=h&amp;cp=34.9335~43.5059&amp;sp=point.34.9335_43.5059","Maplink3")</f>
        <v>Maplink3</v>
      </c>
    </row>
    <row r="1906" spans="1:51" x14ac:dyDescent="0.2">
      <c r="A1906" s="102">
        <v>23243</v>
      </c>
      <c r="B1906" s="103" t="s">
        <v>36</v>
      </c>
      <c r="C1906" s="103" t="s">
        <v>109</v>
      </c>
      <c r="D1906" s="103" t="s">
        <v>3617</v>
      </c>
      <c r="E1906" s="103" t="s">
        <v>3618</v>
      </c>
      <c r="F1906" s="103">
        <v>35.152080099999999</v>
      </c>
      <c r="G1906" s="103">
        <v>43.317737891999997</v>
      </c>
      <c r="H1906" s="102">
        <v>91</v>
      </c>
      <c r="I1906" s="102">
        <v>546</v>
      </c>
      <c r="J1906" s="103"/>
      <c r="K1906" s="103"/>
      <c r="L1906" s="103"/>
      <c r="M1906" s="103">
        <v>88</v>
      </c>
      <c r="N1906" s="103">
        <v>3</v>
      </c>
      <c r="O1906" s="103"/>
      <c r="P1906" s="103"/>
      <c r="Q1906" s="103"/>
      <c r="R1906" s="103"/>
      <c r="S1906" s="103"/>
      <c r="T1906" s="103"/>
      <c r="U1906" s="103"/>
      <c r="V1906" s="103"/>
      <c r="W1906" s="103"/>
      <c r="X1906" s="103"/>
      <c r="Y1906" s="103"/>
      <c r="Z1906" s="103"/>
      <c r="AA1906" s="103">
        <v>30</v>
      </c>
      <c r="AB1906" s="103"/>
      <c r="AC1906" s="103">
        <v>20</v>
      </c>
      <c r="AD1906" s="103"/>
      <c r="AE1906" s="103"/>
      <c r="AF1906" s="103"/>
      <c r="AG1906" s="103"/>
      <c r="AH1906" s="103"/>
      <c r="AI1906" s="103">
        <v>41</v>
      </c>
      <c r="AJ1906" s="103"/>
      <c r="AK1906" s="103"/>
      <c r="AL1906" s="103"/>
      <c r="AM1906" s="103"/>
      <c r="AN1906" s="103">
        <v>51</v>
      </c>
      <c r="AO1906" s="103">
        <v>40</v>
      </c>
      <c r="AP1906" s="103"/>
      <c r="AQ1906" s="103"/>
      <c r="AR1906" s="103"/>
      <c r="AS1906" s="103"/>
      <c r="AT1906" s="103"/>
      <c r="AU1906" s="103"/>
      <c r="AV1906" s="103"/>
      <c r="AW1906" s="104" t="str">
        <f>HYPERLINK("http://www.openstreetmap.org/?mlat=35.1521&amp;mlon=43.3177&amp;zoom=12#map=12/35.1521/43.3177","Maplink1")</f>
        <v>Maplink1</v>
      </c>
      <c r="AX1906" s="104" t="str">
        <f>HYPERLINK("https://www.google.iq/maps/search/+35.1521,43.3177/@35.1521,43.3177,14z?hl=en","Maplink2")</f>
        <v>Maplink2</v>
      </c>
      <c r="AY1906" s="104" t="str">
        <f>HYPERLINK("http://www.bing.com/maps/?lvl=14&amp;sty=h&amp;cp=35.1521~43.3177&amp;sp=point.35.1521_43.3177","Maplink3")</f>
        <v>Maplink3</v>
      </c>
    </row>
    <row r="1907" spans="1:51" x14ac:dyDescent="0.2">
      <c r="A1907" s="102">
        <v>25921</v>
      </c>
      <c r="B1907" s="103" t="s">
        <v>36</v>
      </c>
      <c r="C1907" s="103" t="s">
        <v>109</v>
      </c>
      <c r="D1907" s="103" t="s">
        <v>3605</v>
      </c>
      <c r="E1907" s="103" t="s">
        <v>3606</v>
      </c>
      <c r="F1907" s="103">
        <v>34.827814504199999</v>
      </c>
      <c r="G1907" s="103">
        <v>43.506484584699997</v>
      </c>
      <c r="H1907" s="102">
        <v>1934</v>
      </c>
      <c r="I1907" s="102">
        <v>11604</v>
      </c>
      <c r="J1907" s="103"/>
      <c r="K1907" s="103"/>
      <c r="L1907" s="103"/>
      <c r="M1907" s="103">
        <v>1934</v>
      </c>
      <c r="N1907" s="103"/>
      <c r="O1907" s="103"/>
      <c r="P1907" s="103"/>
      <c r="Q1907" s="103"/>
      <c r="R1907" s="103"/>
      <c r="S1907" s="103"/>
      <c r="T1907" s="103"/>
      <c r="U1907" s="103"/>
      <c r="V1907" s="103"/>
      <c r="W1907" s="103">
        <v>5</v>
      </c>
      <c r="X1907" s="103">
        <v>5</v>
      </c>
      <c r="Y1907" s="103"/>
      <c r="Z1907" s="103"/>
      <c r="AA1907" s="103">
        <v>1908</v>
      </c>
      <c r="AB1907" s="103"/>
      <c r="AC1907" s="103">
        <v>10</v>
      </c>
      <c r="AD1907" s="103"/>
      <c r="AE1907" s="103"/>
      <c r="AF1907" s="103"/>
      <c r="AG1907" s="103"/>
      <c r="AH1907" s="103"/>
      <c r="AI1907" s="103">
        <v>6</v>
      </c>
      <c r="AJ1907" s="103"/>
      <c r="AK1907" s="103"/>
      <c r="AL1907" s="103"/>
      <c r="AM1907" s="103">
        <v>93</v>
      </c>
      <c r="AN1907" s="103">
        <v>1750</v>
      </c>
      <c r="AO1907" s="103">
        <v>91</v>
      </c>
      <c r="AP1907" s="103"/>
      <c r="AQ1907" s="103"/>
      <c r="AR1907" s="103"/>
      <c r="AS1907" s="103"/>
      <c r="AT1907" s="103"/>
      <c r="AU1907" s="103"/>
      <c r="AV1907" s="103"/>
      <c r="AW1907" s="104" t="str">
        <f>HYPERLINK("http://www.openstreetmap.org/?mlat=34.8278&amp;mlon=43.5065&amp;zoom=12#map=12/34.8278/43.5065","Maplink1")</f>
        <v>Maplink1</v>
      </c>
      <c r="AX1907" s="104" t="str">
        <f>HYPERLINK("https://www.google.iq/maps/search/+34.8278,43.5065/@34.8278,43.5065,14z?hl=en","Maplink2")</f>
        <v>Maplink2</v>
      </c>
      <c r="AY1907" s="104" t="str">
        <f>HYPERLINK("http://www.bing.com/maps/?lvl=14&amp;sty=h&amp;cp=34.8278~43.5065&amp;sp=point.34.8278_43.5065","Maplink3")</f>
        <v>Maplink3</v>
      </c>
    </row>
    <row r="1908" spans="1:51" x14ac:dyDescent="0.2">
      <c r="A1908" s="102">
        <v>22969</v>
      </c>
      <c r="B1908" s="103" t="s">
        <v>36</v>
      </c>
      <c r="C1908" s="103" t="s">
        <v>109</v>
      </c>
      <c r="D1908" s="103" t="s">
        <v>3623</v>
      </c>
      <c r="E1908" s="103" t="s">
        <v>3624</v>
      </c>
      <c r="F1908" s="103">
        <v>35.013106000000001</v>
      </c>
      <c r="G1908" s="103">
        <v>43.559028327999997</v>
      </c>
      <c r="H1908" s="102">
        <v>298</v>
      </c>
      <c r="I1908" s="102">
        <v>1788</v>
      </c>
      <c r="J1908" s="103"/>
      <c r="K1908" s="103"/>
      <c r="L1908" s="103"/>
      <c r="M1908" s="103">
        <v>242</v>
      </c>
      <c r="N1908" s="103">
        <v>56</v>
      </c>
      <c r="O1908" s="103"/>
      <c r="P1908" s="103"/>
      <c r="Q1908" s="103"/>
      <c r="R1908" s="103"/>
      <c r="S1908" s="103"/>
      <c r="T1908" s="103"/>
      <c r="U1908" s="103"/>
      <c r="V1908" s="103"/>
      <c r="W1908" s="103"/>
      <c r="X1908" s="103"/>
      <c r="Y1908" s="103"/>
      <c r="Z1908" s="103"/>
      <c r="AA1908" s="103">
        <v>43</v>
      </c>
      <c r="AB1908" s="103"/>
      <c r="AC1908" s="103">
        <v>105</v>
      </c>
      <c r="AD1908" s="103"/>
      <c r="AE1908" s="103"/>
      <c r="AF1908" s="103"/>
      <c r="AG1908" s="103"/>
      <c r="AH1908" s="103"/>
      <c r="AI1908" s="103">
        <v>115</v>
      </c>
      <c r="AJ1908" s="103">
        <v>35</v>
      </c>
      <c r="AK1908" s="103"/>
      <c r="AL1908" s="103"/>
      <c r="AM1908" s="103"/>
      <c r="AN1908" s="103">
        <v>92</v>
      </c>
      <c r="AO1908" s="103">
        <v>122</v>
      </c>
      <c r="AP1908" s="103">
        <v>84</v>
      </c>
      <c r="AQ1908" s="103"/>
      <c r="AR1908" s="103"/>
      <c r="AS1908" s="103"/>
      <c r="AT1908" s="103"/>
      <c r="AU1908" s="103"/>
      <c r="AV1908" s="103"/>
      <c r="AW1908" s="104" t="str">
        <f>HYPERLINK("http://www.openstreetmap.org/?mlat=35.0131&amp;mlon=43.559&amp;zoom=12#map=12/35.0131/43.559","Maplink1")</f>
        <v>Maplink1</v>
      </c>
      <c r="AX1908" s="104" t="str">
        <f>HYPERLINK("https://www.google.iq/maps/search/+35.0131,43.559/@35.0131,43.559,14z?hl=en","Maplink2")</f>
        <v>Maplink2</v>
      </c>
      <c r="AY1908" s="104" t="str">
        <f>HYPERLINK("http://www.bing.com/maps/?lvl=14&amp;sty=h&amp;cp=35.0131~43.559&amp;sp=point.35.0131_43.559","Maplink3")</f>
        <v>Maplink3</v>
      </c>
    </row>
    <row r="1909" spans="1:51" x14ac:dyDescent="0.2">
      <c r="A1909" s="102">
        <v>23435</v>
      </c>
      <c r="B1909" s="103" t="s">
        <v>36</v>
      </c>
      <c r="C1909" s="103" t="s">
        <v>109</v>
      </c>
      <c r="D1909" s="103" t="s">
        <v>3625</v>
      </c>
      <c r="E1909" s="103" t="s">
        <v>3626</v>
      </c>
      <c r="F1909" s="103">
        <v>35.261200000000002</v>
      </c>
      <c r="G1909" s="103">
        <v>43.397525000000002</v>
      </c>
      <c r="H1909" s="102">
        <v>2182</v>
      </c>
      <c r="I1909" s="102">
        <v>13092</v>
      </c>
      <c r="J1909" s="103"/>
      <c r="K1909" s="103"/>
      <c r="L1909" s="103">
        <v>32</v>
      </c>
      <c r="M1909" s="103">
        <v>2115</v>
      </c>
      <c r="N1909" s="103">
        <v>35</v>
      </c>
      <c r="O1909" s="103"/>
      <c r="P1909" s="103"/>
      <c r="Q1909" s="103"/>
      <c r="R1909" s="103"/>
      <c r="S1909" s="103"/>
      <c r="T1909" s="103"/>
      <c r="U1909" s="103"/>
      <c r="V1909" s="103"/>
      <c r="W1909" s="103"/>
      <c r="X1909" s="103"/>
      <c r="Y1909" s="103"/>
      <c r="Z1909" s="103"/>
      <c r="AA1909" s="103">
        <v>676</v>
      </c>
      <c r="AB1909" s="103"/>
      <c r="AC1909" s="103">
        <v>675</v>
      </c>
      <c r="AD1909" s="103"/>
      <c r="AE1909" s="103"/>
      <c r="AF1909" s="103"/>
      <c r="AG1909" s="103"/>
      <c r="AH1909" s="103"/>
      <c r="AI1909" s="103">
        <v>831</v>
      </c>
      <c r="AJ1909" s="103"/>
      <c r="AK1909" s="103"/>
      <c r="AL1909" s="103"/>
      <c r="AM1909" s="103"/>
      <c r="AN1909" s="103">
        <v>722</v>
      </c>
      <c r="AO1909" s="103">
        <v>525</v>
      </c>
      <c r="AP1909" s="103">
        <v>307</v>
      </c>
      <c r="AQ1909" s="103"/>
      <c r="AR1909" s="103">
        <v>488</v>
      </c>
      <c r="AS1909" s="103">
        <v>140</v>
      </c>
      <c r="AT1909" s="103"/>
      <c r="AU1909" s="103"/>
      <c r="AV1909" s="103"/>
      <c r="AW1909" s="104" t="str">
        <f>HYPERLINK("http://www.openstreetmap.org/?mlat=35.2612&amp;mlon=43.3975&amp;zoom=12#map=12/35.2612/43.3975","Maplink1")</f>
        <v>Maplink1</v>
      </c>
      <c r="AX1909" s="104" t="str">
        <f>HYPERLINK("https://www.google.iq/maps/search/+35.2612,43.3975/@35.2612,43.3975,14z?hl=en","Maplink2")</f>
        <v>Maplink2</v>
      </c>
      <c r="AY1909" s="104" t="str">
        <f>HYPERLINK("http://www.bing.com/maps/?lvl=14&amp;sty=h&amp;cp=35.2612~43.3975&amp;sp=point.35.2612_43.3975","Maplink3")</f>
        <v>Maplink3</v>
      </c>
    </row>
    <row r="1910" spans="1:51" x14ac:dyDescent="0.2">
      <c r="A1910" s="102">
        <v>20689</v>
      </c>
      <c r="B1910" s="103" t="s">
        <v>36</v>
      </c>
      <c r="C1910" s="103" t="s">
        <v>109</v>
      </c>
      <c r="D1910" s="103" t="s">
        <v>3642</v>
      </c>
      <c r="E1910" s="103" t="s">
        <v>3643</v>
      </c>
      <c r="F1910" s="103">
        <v>35.202768800000001</v>
      </c>
      <c r="G1910" s="103">
        <v>43.277916804999997</v>
      </c>
      <c r="H1910" s="102">
        <v>152</v>
      </c>
      <c r="I1910" s="102">
        <v>912</v>
      </c>
      <c r="J1910" s="103"/>
      <c r="K1910" s="103"/>
      <c r="L1910" s="103"/>
      <c r="M1910" s="103">
        <v>143</v>
      </c>
      <c r="N1910" s="103">
        <v>9</v>
      </c>
      <c r="O1910" s="103"/>
      <c r="P1910" s="103"/>
      <c r="Q1910" s="103"/>
      <c r="R1910" s="103"/>
      <c r="S1910" s="103"/>
      <c r="T1910" s="103"/>
      <c r="U1910" s="103"/>
      <c r="V1910" s="103"/>
      <c r="W1910" s="103"/>
      <c r="X1910" s="103"/>
      <c r="Y1910" s="103"/>
      <c r="Z1910" s="103"/>
      <c r="AA1910" s="103">
        <v>45</v>
      </c>
      <c r="AB1910" s="103"/>
      <c r="AC1910" s="103">
        <v>12</v>
      </c>
      <c r="AD1910" s="103"/>
      <c r="AE1910" s="103"/>
      <c r="AF1910" s="103"/>
      <c r="AG1910" s="103"/>
      <c r="AH1910" s="103"/>
      <c r="AI1910" s="103">
        <v>95</v>
      </c>
      <c r="AJ1910" s="103"/>
      <c r="AK1910" s="103"/>
      <c r="AL1910" s="103"/>
      <c r="AM1910" s="103"/>
      <c r="AN1910" s="103">
        <v>31</v>
      </c>
      <c r="AO1910" s="103">
        <v>121</v>
      </c>
      <c r="AP1910" s="103"/>
      <c r="AQ1910" s="103"/>
      <c r="AR1910" s="103"/>
      <c r="AS1910" s="103"/>
      <c r="AT1910" s="103"/>
      <c r="AU1910" s="103"/>
      <c r="AV1910" s="103"/>
      <c r="AW1910" s="104" t="str">
        <f>HYPERLINK("http://www.openstreetmap.org/?mlat=35.2028&amp;mlon=43.2779&amp;zoom=12#map=12/35.2028/43.2779","Maplink1")</f>
        <v>Maplink1</v>
      </c>
      <c r="AX1910" s="104" t="str">
        <f>HYPERLINK("https://www.google.iq/maps/search/+35.2028,43.2779/@35.2028,43.2779,14z?hl=en","Maplink2")</f>
        <v>Maplink2</v>
      </c>
      <c r="AY1910" s="104" t="str">
        <f>HYPERLINK("http://www.bing.com/maps/?lvl=14&amp;sty=h&amp;cp=35.2028~43.2779&amp;sp=point.35.2028_43.2779","Maplink3")</f>
        <v>Maplink3</v>
      </c>
    </row>
    <row r="1911" spans="1:51" x14ac:dyDescent="0.2">
      <c r="A1911" s="102">
        <v>20720</v>
      </c>
      <c r="B1911" s="103" t="s">
        <v>36</v>
      </c>
      <c r="C1911" s="103" t="s">
        <v>109</v>
      </c>
      <c r="D1911" s="103" t="s">
        <v>3639</v>
      </c>
      <c r="E1911" s="103" t="s">
        <v>3640</v>
      </c>
      <c r="F1911" s="103">
        <v>34.930908000000002</v>
      </c>
      <c r="G1911" s="103">
        <v>43.412882427</v>
      </c>
      <c r="H1911" s="102">
        <v>1959</v>
      </c>
      <c r="I1911" s="102">
        <v>11754</v>
      </c>
      <c r="J1911" s="103">
        <v>221</v>
      </c>
      <c r="K1911" s="103"/>
      <c r="L1911" s="103">
        <v>35</v>
      </c>
      <c r="M1911" s="103">
        <v>1283</v>
      </c>
      <c r="N1911" s="103">
        <v>420</v>
      </c>
      <c r="O1911" s="103"/>
      <c r="P1911" s="103"/>
      <c r="Q1911" s="103"/>
      <c r="R1911" s="103"/>
      <c r="S1911" s="103"/>
      <c r="T1911" s="103"/>
      <c r="U1911" s="103"/>
      <c r="V1911" s="103"/>
      <c r="W1911" s="103"/>
      <c r="X1911" s="103"/>
      <c r="Y1911" s="103"/>
      <c r="Z1911" s="103"/>
      <c r="AA1911" s="103">
        <v>85</v>
      </c>
      <c r="AB1911" s="103"/>
      <c r="AC1911" s="103">
        <v>186</v>
      </c>
      <c r="AD1911" s="103"/>
      <c r="AE1911" s="103"/>
      <c r="AF1911" s="103"/>
      <c r="AG1911" s="103">
        <v>395</v>
      </c>
      <c r="AH1911" s="103"/>
      <c r="AI1911" s="103">
        <v>1293</v>
      </c>
      <c r="AJ1911" s="103"/>
      <c r="AK1911" s="103"/>
      <c r="AL1911" s="103"/>
      <c r="AM1911" s="103">
        <v>56</v>
      </c>
      <c r="AN1911" s="103">
        <v>982</v>
      </c>
      <c r="AO1911" s="103">
        <v>921</v>
      </c>
      <c r="AP1911" s="103"/>
      <c r="AQ1911" s="103"/>
      <c r="AR1911" s="103"/>
      <c r="AS1911" s="103"/>
      <c r="AT1911" s="103"/>
      <c r="AU1911" s="103"/>
      <c r="AV1911" s="103"/>
      <c r="AW1911" s="104" t="str">
        <f>HYPERLINK("http://www.openstreetmap.org/?mlat=34.9309&amp;mlon=43.4129&amp;zoom=12#map=12/34.9309/43.4129","Maplink1")</f>
        <v>Maplink1</v>
      </c>
      <c r="AX1911" s="104" t="str">
        <f>HYPERLINK("https://www.google.iq/maps/search/+34.9309,43.4129/@34.9309,43.4129,14z?hl=en","Maplink2")</f>
        <v>Maplink2</v>
      </c>
      <c r="AY1911" s="104" t="str">
        <f>HYPERLINK("http://www.bing.com/maps/?lvl=14&amp;sty=h&amp;cp=34.9309~43.4129&amp;sp=point.34.9309_43.4129","Maplink3")</f>
        <v>Maplink3</v>
      </c>
    </row>
    <row r="1912" spans="1:51" x14ac:dyDescent="0.2">
      <c r="A1912" s="102">
        <v>29632</v>
      </c>
      <c r="B1912" s="103" t="s">
        <v>36</v>
      </c>
      <c r="C1912" s="103" t="s">
        <v>109</v>
      </c>
      <c r="D1912" s="103" t="s">
        <v>3607</v>
      </c>
      <c r="E1912" s="103" t="s">
        <v>3608</v>
      </c>
      <c r="F1912" s="103">
        <v>34.904136000000001</v>
      </c>
      <c r="G1912" s="103">
        <v>43.517494753599998</v>
      </c>
      <c r="H1912" s="102">
        <v>610</v>
      </c>
      <c r="I1912" s="102">
        <v>3660</v>
      </c>
      <c r="J1912" s="103"/>
      <c r="K1912" s="103"/>
      <c r="L1912" s="103"/>
      <c r="M1912" s="103">
        <v>590</v>
      </c>
      <c r="N1912" s="103">
        <v>20</v>
      </c>
      <c r="O1912" s="103"/>
      <c r="P1912" s="103"/>
      <c r="Q1912" s="103"/>
      <c r="R1912" s="103"/>
      <c r="S1912" s="103"/>
      <c r="T1912" s="103"/>
      <c r="U1912" s="103"/>
      <c r="V1912" s="103"/>
      <c r="W1912" s="103"/>
      <c r="X1912" s="103"/>
      <c r="Y1912" s="103"/>
      <c r="Z1912" s="103"/>
      <c r="AA1912" s="103">
        <v>15</v>
      </c>
      <c r="AB1912" s="103"/>
      <c r="AC1912" s="103">
        <v>50</v>
      </c>
      <c r="AD1912" s="103"/>
      <c r="AE1912" s="103"/>
      <c r="AF1912" s="103"/>
      <c r="AG1912" s="103"/>
      <c r="AH1912" s="103"/>
      <c r="AI1912" s="103">
        <v>530</v>
      </c>
      <c r="AJ1912" s="103">
        <v>15</v>
      </c>
      <c r="AK1912" s="103"/>
      <c r="AL1912" s="103"/>
      <c r="AM1912" s="103">
        <v>50</v>
      </c>
      <c r="AN1912" s="103">
        <v>340</v>
      </c>
      <c r="AO1912" s="103">
        <v>115</v>
      </c>
      <c r="AP1912" s="103">
        <v>105</v>
      </c>
      <c r="AQ1912" s="103"/>
      <c r="AR1912" s="103"/>
      <c r="AS1912" s="103"/>
      <c r="AT1912" s="103"/>
      <c r="AU1912" s="103"/>
      <c r="AV1912" s="103"/>
      <c r="AW1912" s="104" t="str">
        <f>HYPERLINK("http://www.openstreetmap.org/?mlat=34.9041&amp;mlon=43.5175&amp;zoom=12#map=12/34.9041/43.5175","Maplink1")</f>
        <v>Maplink1</v>
      </c>
      <c r="AX1912" s="104" t="str">
        <f>HYPERLINK("https://www.google.iq/maps/search/+34.9041,43.5175/@34.9041,43.5175,14z?hl=en","Maplink2")</f>
        <v>Maplink2</v>
      </c>
      <c r="AY1912" s="104" t="str">
        <f>HYPERLINK("http://www.bing.com/maps/?lvl=14&amp;sty=h&amp;cp=34.9041~43.5175&amp;sp=point.34.9041_43.5175","Maplink3")</f>
        <v>Maplink3</v>
      </c>
    </row>
    <row r="1913" spans="1:51" x14ac:dyDescent="0.2">
      <c r="A1913" s="102">
        <v>32100</v>
      </c>
      <c r="B1913" s="103" t="s">
        <v>36</v>
      </c>
      <c r="C1913" s="103" t="s">
        <v>109</v>
      </c>
      <c r="D1913" s="103" t="s">
        <v>3631</v>
      </c>
      <c r="E1913" s="103" t="s">
        <v>3632</v>
      </c>
      <c r="F1913" s="103">
        <v>34.902500000000003</v>
      </c>
      <c r="G1913" s="103">
        <v>43.491752711499998</v>
      </c>
      <c r="H1913" s="102">
        <v>321</v>
      </c>
      <c r="I1913" s="102">
        <v>1926</v>
      </c>
      <c r="J1913" s="103"/>
      <c r="K1913" s="103"/>
      <c r="L1913" s="103"/>
      <c r="M1913" s="103">
        <v>261</v>
      </c>
      <c r="N1913" s="103">
        <v>60</v>
      </c>
      <c r="O1913" s="103"/>
      <c r="P1913" s="103"/>
      <c r="Q1913" s="103"/>
      <c r="R1913" s="103"/>
      <c r="S1913" s="103"/>
      <c r="T1913" s="103"/>
      <c r="U1913" s="103"/>
      <c r="V1913" s="103"/>
      <c r="W1913" s="103"/>
      <c r="X1913" s="103"/>
      <c r="Y1913" s="103"/>
      <c r="Z1913" s="103"/>
      <c r="AA1913" s="103">
        <v>38</v>
      </c>
      <c r="AB1913" s="103"/>
      <c r="AC1913" s="103">
        <v>95</v>
      </c>
      <c r="AD1913" s="103"/>
      <c r="AE1913" s="103"/>
      <c r="AF1913" s="103"/>
      <c r="AG1913" s="103">
        <v>5</v>
      </c>
      <c r="AH1913" s="103"/>
      <c r="AI1913" s="103">
        <v>183</v>
      </c>
      <c r="AJ1913" s="103"/>
      <c r="AK1913" s="103"/>
      <c r="AL1913" s="103"/>
      <c r="AM1913" s="103">
        <v>175</v>
      </c>
      <c r="AN1913" s="103">
        <v>80</v>
      </c>
      <c r="AO1913" s="103">
        <v>66</v>
      </c>
      <c r="AP1913" s="103"/>
      <c r="AQ1913" s="103"/>
      <c r="AR1913" s="103"/>
      <c r="AS1913" s="103"/>
      <c r="AT1913" s="103"/>
      <c r="AU1913" s="103"/>
      <c r="AV1913" s="103"/>
      <c r="AW1913" s="104" t="str">
        <f>HYPERLINK("http://www.openstreetmap.org/?mlat=34.9025&amp;mlon=43.4918&amp;zoom=12#map=12/34.9025/43.4918","Maplink1")</f>
        <v>Maplink1</v>
      </c>
      <c r="AX1913" s="104" t="str">
        <f>HYPERLINK("https://www.google.iq/maps/search/+34.9025,43.4918/@34.9025,43.4918,14z?hl=en","Maplink2")</f>
        <v>Maplink2</v>
      </c>
      <c r="AY1913" s="104" t="str">
        <f>HYPERLINK("http://www.bing.com/maps/?lvl=14&amp;sty=h&amp;cp=34.9025~43.4918&amp;sp=point.34.9025_43.4918","Maplink3")</f>
        <v>Maplink3</v>
      </c>
    </row>
    <row r="1914" spans="1:51" x14ac:dyDescent="0.2">
      <c r="A1914" s="102">
        <v>22813</v>
      </c>
      <c r="B1914" s="103" t="s">
        <v>36</v>
      </c>
      <c r="C1914" s="103" t="s">
        <v>109</v>
      </c>
      <c r="D1914" s="103" t="s">
        <v>3619</v>
      </c>
      <c r="E1914" s="103" t="s">
        <v>3620</v>
      </c>
      <c r="F1914" s="103">
        <v>34.862259692999999</v>
      </c>
      <c r="G1914" s="103">
        <v>43.495586314900002</v>
      </c>
      <c r="H1914" s="102">
        <v>650</v>
      </c>
      <c r="I1914" s="102">
        <v>3900</v>
      </c>
      <c r="J1914" s="103"/>
      <c r="K1914" s="103"/>
      <c r="L1914" s="103"/>
      <c r="M1914" s="103">
        <v>650</v>
      </c>
      <c r="N1914" s="103"/>
      <c r="O1914" s="103"/>
      <c r="P1914" s="103"/>
      <c r="Q1914" s="103"/>
      <c r="R1914" s="103"/>
      <c r="S1914" s="103"/>
      <c r="T1914" s="103"/>
      <c r="U1914" s="103"/>
      <c r="V1914" s="103"/>
      <c r="W1914" s="103"/>
      <c r="X1914" s="103"/>
      <c r="Y1914" s="103"/>
      <c r="Z1914" s="103"/>
      <c r="AA1914" s="103">
        <v>150</v>
      </c>
      <c r="AB1914" s="103"/>
      <c r="AC1914" s="103">
        <v>300</v>
      </c>
      <c r="AD1914" s="103"/>
      <c r="AE1914" s="103"/>
      <c r="AF1914" s="103"/>
      <c r="AG1914" s="103"/>
      <c r="AH1914" s="103"/>
      <c r="AI1914" s="103">
        <v>200</v>
      </c>
      <c r="AJ1914" s="103"/>
      <c r="AK1914" s="103"/>
      <c r="AL1914" s="103"/>
      <c r="AM1914" s="103">
        <v>350</v>
      </c>
      <c r="AN1914" s="103">
        <v>300</v>
      </c>
      <c r="AO1914" s="103"/>
      <c r="AP1914" s="103"/>
      <c r="AQ1914" s="103"/>
      <c r="AR1914" s="103"/>
      <c r="AS1914" s="103"/>
      <c r="AT1914" s="103"/>
      <c r="AU1914" s="103"/>
      <c r="AV1914" s="103"/>
      <c r="AW1914" s="104" t="str">
        <f>HYPERLINK("http://www.openstreetmap.org/?mlat=34.8623&amp;mlon=43.4956&amp;zoom=12#map=12/34.8623/43.4956","Maplink1")</f>
        <v>Maplink1</v>
      </c>
      <c r="AX1914" s="104" t="str">
        <f>HYPERLINK("https://www.google.iq/maps/search/+34.8623,43.4956/@34.8623,43.4956,14z?hl=en","Maplink2")</f>
        <v>Maplink2</v>
      </c>
      <c r="AY1914" s="104" t="str">
        <f>HYPERLINK("http://www.bing.com/maps/?lvl=14&amp;sty=h&amp;cp=34.8623~43.4956&amp;sp=point.34.8623_43.4956","Maplink3")</f>
        <v>Maplink3</v>
      </c>
    </row>
    <row r="1915" spans="1:51" x14ac:dyDescent="0.2">
      <c r="A1915" s="102">
        <v>21847</v>
      </c>
      <c r="B1915" s="103" t="s">
        <v>36</v>
      </c>
      <c r="C1915" s="103" t="s">
        <v>109</v>
      </c>
      <c r="D1915" s="103" t="s">
        <v>3621</v>
      </c>
      <c r="E1915" s="103" t="s">
        <v>3622</v>
      </c>
      <c r="F1915" s="103">
        <v>34.943206799999999</v>
      </c>
      <c r="G1915" s="103">
        <v>43.496263939999999</v>
      </c>
      <c r="H1915" s="102">
        <v>328</v>
      </c>
      <c r="I1915" s="102">
        <v>1968</v>
      </c>
      <c r="J1915" s="103"/>
      <c r="K1915" s="103"/>
      <c r="L1915" s="103"/>
      <c r="M1915" s="103">
        <v>279</v>
      </c>
      <c r="N1915" s="103">
        <v>49</v>
      </c>
      <c r="O1915" s="103"/>
      <c r="P1915" s="103"/>
      <c r="Q1915" s="103"/>
      <c r="R1915" s="103"/>
      <c r="S1915" s="103"/>
      <c r="T1915" s="103"/>
      <c r="U1915" s="103"/>
      <c r="V1915" s="103"/>
      <c r="W1915" s="103"/>
      <c r="X1915" s="103"/>
      <c r="Y1915" s="103"/>
      <c r="Z1915" s="103"/>
      <c r="AA1915" s="103"/>
      <c r="AB1915" s="103"/>
      <c r="AC1915" s="103">
        <v>50</v>
      </c>
      <c r="AD1915" s="103"/>
      <c r="AE1915" s="103"/>
      <c r="AF1915" s="103"/>
      <c r="AG1915" s="103"/>
      <c r="AH1915" s="103"/>
      <c r="AI1915" s="103">
        <v>259</v>
      </c>
      <c r="AJ1915" s="103">
        <v>19</v>
      </c>
      <c r="AK1915" s="103"/>
      <c r="AL1915" s="103"/>
      <c r="AM1915" s="103">
        <v>19</v>
      </c>
      <c r="AN1915" s="103">
        <v>260</v>
      </c>
      <c r="AO1915" s="103">
        <v>49</v>
      </c>
      <c r="AP1915" s="103"/>
      <c r="AQ1915" s="103"/>
      <c r="AR1915" s="103"/>
      <c r="AS1915" s="103"/>
      <c r="AT1915" s="103"/>
      <c r="AU1915" s="103"/>
      <c r="AV1915" s="103"/>
      <c r="AW1915" s="104" t="str">
        <f>HYPERLINK("http://www.openstreetmap.org/?mlat=34.9432&amp;mlon=43.4963&amp;zoom=12#map=12/34.9432/43.4963","Maplink1")</f>
        <v>Maplink1</v>
      </c>
      <c r="AX1915" s="104" t="str">
        <f>HYPERLINK("https://www.google.iq/maps/search/+34.9432,43.4963/@34.9432,43.4963,14z?hl=en","Maplink2")</f>
        <v>Maplink2</v>
      </c>
      <c r="AY1915" s="104" t="str">
        <f>HYPERLINK("http://www.bing.com/maps/?lvl=14&amp;sty=h&amp;cp=34.9432~43.4963&amp;sp=point.34.9432_43.4963","Maplink3")</f>
        <v>Maplink3</v>
      </c>
    </row>
    <row r="1916" spans="1:51" x14ac:dyDescent="0.2">
      <c r="A1916" s="102">
        <v>20866</v>
      </c>
      <c r="B1916" s="103" t="s">
        <v>36</v>
      </c>
      <c r="C1916" s="103" t="s">
        <v>109</v>
      </c>
      <c r="D1916" s="103" t="s">
        <v>3613</v>
      </c>
      <c r="E1916" s="103" t="s">
        <v>3614</v>
      </c>
      <c r="F1916" s="103">
        <v>34.931600000000003</v>
      </c>
      <c r="G1916" s="103">
        <v>43.464592056800001</v>
      </c>
      <c r="H1916" s="102">
        <v>298</v>
      </c>
      <c r="I1916" s="102">
        <v>1788</v>
      </c>
      <c r="J1916" s="103">
        <v>23</v>
      </c>
      <c r="K1916" s="103"/>
      <c r="L1916" s="103"/>
      <c r="M1916" s="103">
        <v>185</v>
      </c>
      <c r="N1916" s="103">
        <v>90</v>
      </c>
      <c r="O1916" s="103"/>
      <c r="P1916" s="103"/>
      <c r="Q1916" s="103"/>
      <c r="R1916" s="103"/>
      <c r="S1916" s="103"/>
      <c r="T1916" s="103"/>
      <c r="U1916" s="103"/>
      <c r="V1916" s="103"/>
      <c r="W1916" s="103"/>
      <c r="X1916" s="103"/>
      <c r="Y1916" s="103"/>
      <c r="Z1916" s="103"/>
      <c r="AA1916" s="103">
        <v>13</v>
      </c>
      <c r="AB1916" s="103"/>
      <c r="AC1916" s="103">
        <v>15</v>
      </c>
      <c r="AD1916" s="103"/>
      <c r="AE1916" s="103"/>
      <c r="AF1916" s="103"/>
      <c r="AG1916" s="103"/>
      <c r="AH1916" s="103"/>
      <c r="AI1916" s="103">
        <v>270</v>
      </c>
      <c r="AJ1916" s="103"/>
      <c r="AK1916" s="103"/>
      <c r="AL1916" s="103"/>
      <c r="AM1916" s="103"/>
      <c r="AN1916" s="103">
        <v>150</v>
      </c>
      <c r="AO1916" s="103">
        <v>100</v>
      </c>
      <c r="AP1916" s="103">
        <v>48</v>
      </c>
      <c r="AQ1916" s="103"/>
      <c r="AR1916" s="103"/>
      <c r="AS1916" s="103"/>
      <c r="AT1916" s="103"/>
      <c r="AU1916" s="103"/>
      <c r="AV1916" s="103"/>
      <c r="AW1916" s="104" t="str">
        <f>HYPERLINK("http://www.openstreetmap.org/?mlat=34.9316&amp;mlon=43.4646&amp;zoom=12#map=12/34.9316/43.4646","Maplink1")</f>
        <v>Maplink1</v>
      </c>
      <c r="AX1916" s="104" t="str">
        <f>HYPERLINK("https://www.google.iq/maps/search/+34.9316,43.4646/@34.9316,43.4646,14z?hl=en","Maplink2")</f>
        <v>Maplink2</v>
      </c>
      <c r="AY1916" s="104" t="str">
        <f>HYPERLINK("http://www.bing.com/maps/?lvl=14&amp;sty=h&amp;cp=34.9316~43.4646&amp;sp=point.34.9316_43.4646","Maplink3")</f>
        <v>Maplink3</v>
      </c>
    </row>
    <row r="1917" spans="1:51" x14ac:dyDescent="0.2">
      <c r="A1917" s="102">
        <v>33435</v>
      </c>
      <c r="B1917" s="103" t="s">
        <v>36</v>
      </c>
      <c r="C1917" s="103" t="s">
        <v>109</v>
      </c>
      <c r="D1917" s="103" t="s">
        <v>3615</v>
      </c>
      <c r="E1917" s="103" t="s">
        <v>3616</v>
      </c>
      <c r="F1917" s="103">
        <v>35.219335100000002</v>
      </c>
      <c r="G1917" s="103">
        <v>43.251465531000001</v>
      </c>
      <c r="H1917" s="102">
        <v>50</v>
      </c>
      <c r="I1917" s="102">
        <v>300</v>
      </c>
      <c r="J1917" s="103"/>
      <c r="K1917" s="103"/>
      <c r="L1917" s="103"/>
      <c r="M1917" s="103">
        <v>50</v>
      </c>
      <c r="N1917" s="103"/>
      <c r="O1917" s="103"/>
      <c r="P1917" s="103"/>
      <c r="Q1917" s="103"/>
      <c r="R1917" s="103"/>
      <c r="S1917" s="103"/>
      <c r="T1917" s="103"/>
      <c r="U1917" s="103"/>
      <c r="V1917" s="103"/>
      <c r="W1917" s="103"/>
      <c r="X1917" s="103"/>
      <c r="Y1917" s="103"/>
      <c r="Z1917" s="103"/>
      <c r="AA1917" s="103"/>
      <c r="AB1917" s="103"/>
      <c r="AC1917" s="103"/>
      <c r="AD1917" s="103"/>
      <c r="AE1917" s="103"/>
      <c r="AF1917" s="103"/>
      <c r="AG1917" s="103"/>
      <c r="AH1917" s="103"/>
      <c r="AI1917" s="103">
        <v>50</v>
      </c>
      <c r="AJ1917" s="103"/>
      <c r="AK1917" s="103"/>
      <c r="AL1917" s="103"/>
      <c r="AM1917" s="103"/>
      <c r="AN1917" s="103"/>
      <c r="AO1917" s="103"/>
      <c r="AP1917" s="103">
        <v>10</v>
      </c>
      <c r="AQ1917" s="103"/>
      <c r="AR1917" s="103">
        <v>40</v>
      </c>
      <c r="AS1917" s="103"/>
      <c r="AT1917" s="103"/>
      <c r="AU1917" s="103"/>
      <c r="AV1917" s="103"/>
      <c r="AW1917" s="104" t="str">
        <f>HYPERLINK("http://www.openstreetmap.org/?mlat=35.2193&amp;mlon=43.2515&amp;zoom=12#map=12/35.2193/43.2515","Maplink1")</f>
        <v>Maplink1</v>
      </c>
      <c r="AX1917" s="104" t="str">
        <f>HYPERLINK("https://www.google.iq/maps/search/+35.2193,43.2515/@35.2193,43.2515,14z?hl=en","Maplink2")</f>
        <v>Maplink2</v>
      </c>
      <c r="AY1917" s="104" t="str">
        <f>HYPERLINK("http://www.bing.com/maps/?lvl=14&amp;sty=h&amp;cp=35.2193~43.2515&amp;sp=point.35.2193_43.2515","Maplink3")</f>
        <v>Maplink3</v>
      </c>
    </row>
    <row r="1918" spans="1:51" x14ac:dyDescent="0.2">
      <c r="A1918" s="102">
        <v>20656</v>
      </c>
      <c r="B1918" s="103" t="s">
        <v>36</v>
      </c>
      <c r="C1918" s="103" t="s">
        <v>109</v>
      </c>
      <c r="D1918" s="103" t="s">
        <v>3662</v>
      </c>
      <c r="E1918" s="103" t="s">
        <v>3663</v>
      </c>
      <c r="F1918" s="103">
        <v>34.948604000000003</v>
      </c>
      <c r="G1918" s="103">
        <v>43.493658674000002</v>
      </c>
      <c r="H1918" s="102">
        <v>256</v>
      </c>
      <c r="I1918" s="102">
        <v>1536</v>
      </c>
      <c r="J1918" s="103">
        <v>9</v>
      </c>
      <c r="K1918" s="103"/>
      <c r="L1918" s="103">
        <v>10</v>
      </c>
      <c r="M1918" s="103">
        <v>182</v>
      </c>
      <c r="N1918" s="103">
        <v>55</v>
      </c>
      <c r="O1918" s="103"/>
      <c r="P1918" s="103"/>
      <c r="Q1918" s="103"/>
      <c r="R1918" s="103"/>
      <c r="S1918" s="103"/>
      <c r="T1918" s="103"/>
      <c r="U1918" s="103"/>
      <c r="V1918" s="103"/>
      <c r="W1918" s="103"/>
      <c r="X1918" s="103">
        <v>3</v>
      </c>
      <c r="Y1918" s="103"/>
      <c r="Z1918" s="103"/>
      <c r="AA1918" s="103">
        <v>49</v>
      </c>
      <c r="AB1918" s="103"/>
      <c r="AC1918" s="103">
        <v>57</v>
      </c>
      <c r="AD1918" s="103"/>
      <c r="AE1918" s="103"/>
      <c r="AF1918" s="103"/>
      <c r="AG1918" s="103"/>
      <c r="AH1918" s="103"/>
      <c r="AI1918" s="103">
        <v>117</v>
      </c>
      <c r="AJ1918" s="103">
        <v>30</v>
      </c>
      <c r="AK1918" s="103"/>
      <c r="AL1918" s="103"/>
      <c r="AM1918" s="103"/>
      <c r="AN1918" s="103">
        <v>185</v>
      </c>
      <c r="AO1918" s="103">
        <v>71</v>
      </c>
      <c r="AP1918" s="103"/>
      <c r="AQ1918" s="103"/>
      <c r="AR1918" s="103"/>
      <c r="AS1918" s="103"/>
      <c r="AT1918" s="103"/>
      <c r="AU1918" s="103"/>
      <c r="AV1918" s="103"/>
      <c r="AW1918" s="104" t="str">
        <f>HYPERLINK("http://www.openstreetmap.org/?mlat=34.9486&amp;mlon=43.4937&amp;zoom=12#map=12/34.9486/43.4937","Maplink1")</f>
        <v>Maplink1</v>
      </c>
      <c r="AX1918" s="104" t="str">
        <f>HYPERLINK("https://www.google.iq/maps/search/+34.9486,43.4937/@34.9486,43.4937,14z?hl=en","Maplink2")</f>
        <v>Maplink2</v>
      </c>
      <c r="AY1918" s="104" t="str">
        <f>HYPERLINK("http://www.bing.com/maps/?lvl=14&amp;sty=h&amp;cp=34.9486~43.4937&amp;sp=point.34.9486_43.4937","Maplink3")</f>
        <v>Maplink3</v>
      </c>
    </row>
    <row r="1919" spans="1:51" x14ac:dyDescent="0.2">
      <c r="A1919" s="102">
        <v>24305</v>
      </c>
      <c r="B1919" s="103" t="s">
        <v>36</v>
      </c>
      <c r="C1919" s="103" t="s">
        <v>109</v>
      </c>
      <c r="D1919" s="103" t="s">
        <v>3664</v>
      </c>
      <c r="E1919" s="103" t="s">
        <v>3665</v>
      </c>
      <c r="F1919" s="103">
        <v>34.333402</v>
      </c>
      <c r="G1919" s="103">
        <v>43.349432020999998</v>
      </c>
      <c r="H1919" s="102">
        <v>260</v>
      </c>
      <c r="I1919" s="102">
        <v>1560</v>
      </c>
      <c r="J1919" s="103"/>
      <c r="K1919" s="103"/>
      <c r="L1919" s="103"/>
      <c r="M1919" s="103">
        <v>220</v>
      </c>
      <c r="N1919" s="103">
        <v>40</v>
      </c>
      <c r="O1919" s="103"/>
      <c r="P1919" s="103"/>
      <c r="Q1919" s="103"/>
      <c r="R1919" s="103"/>
      <c r="S1919" s="103"/>
      <c r="T1919" s="103"/>
      <c r="U1919" s="103"/>
      <c r="V1919" s="103"/>
      <c r="W1919" s="103"/>
      <c r="X1919" s="103"/>
      <c r="Y1919" s="103"/>
      <c r="Z1919" s="103"/>
      <c r="AA1919" s="103">
        <v>100</v>
      </c>
      <c r="AB1919" s="103"/>
      <c r="AC1919" s="103"/>
      <c r="AD1919" s="103"/>
      <c r="AE1919" s="103"/>
      <c r="AF1919" s="103"/>
      <c r="AG1919" s="103"/>
      <c r="AH1919" s="103"/>
      <c r="AI1919" s="103">
        <v>160</v>
      </c>
      <c r="AJ1919" s="103"/>
      <c r="AK1919" s="103"/>
      <c r="AL1919" s="103"/>
      <c r="AM1919" s="103"/>
      <c r="AN1919" s="103"/>
      <c r="AO1919" s="103">
        <v>50</v>
      </c>
      <c r="AP1919" s="103"/>
      <c r="AQ1919" s="103"/>
      <c r="AR1919" s="103">
        <v>100</v>
      </c>
      <c r="AS1919" s="103">
        <v>110</v>
      </c>
      <c r="AT1919" s="103"/>
      <c r="AU1919" s="103"/>
      <c r="AV1919" s="103"/>
      <c r="AW1919" s="104" t="str">
        <f>HYPERLINK("http://www.openstreetmap.org/?mlat=34.3334&amp;mlon=43.3494&amp;zoom=12#map=12/34.3334/43.3494","Maplink1")</f>
        <v>Maplink1</v>
      </c>
      <c r="AX1919" s="104" t="str">
        <f>HYPERLINK("https://www.google.iq/maps/search/+34.3334,43.3494/@34.3334,43.3494,14z?hl=en","Maplink2")</f>
        <v>Maplink2</v>
      </c>
      <c r="AY1919" s="104" t="str">
        <f>HYPERLINK("http://www.bing.com/maps/?lvl=14&amp;sty=h&amp;cp=34.3334~43.3494&amp;sp=point.34.3334_43.3494","Maplink3")</f>
        <v>Maplink3</v>
      </c>
    </row>
    <row r="1920" spans="1:51" x14ac:dyDescent="0.2">
      <c r="A1920" s="102">
        <v>20867</v>
      </c>
      <c r="B1920" s="103" t="s">
        <v>36</v>
      </c>
      <c r="C1920" s="103" t="s">
        <v>109</v>
      </c>
      <c r="D1920" s="103" t="s">
        <v>3666</v>
      </c>
      <c r="E1920" s="103" t="s">
        <v>3667</v>
      </c>
      <c r="F1920" s="103">
        <v>34.931388890000001</v>
      </c>
      <c r="G1920" s="103">
        <v>43.495771802</v>
      </c>
      <c r="H1920" s="102">
        <v>381</v>
      </c>
      <c r="I1920" s="102">
        <v>2286</v>
      </c>
      <c r="J1920" s="103"/>
      <c r="K1920" s="103"/>
      <c r="L1920" s="103">
        <v>78</v>
      </c>
      <c r="M1920" s="103">
        <v>246</v>
      </c>
      <c r="N1920" s="103">
        <v>57</v>
      </c>
      <c r="O1920" s="103"/>
      <c r="P1920" s="103"/>
      <c r="Q1920" s="103"/>
      <c r="R1920" s="103"/>
      <c r="S1920" s="103"/>
      <c r="T1920" s="103"/>
      <c r="U1920" s="103"/>
      <c r="V1920" s="103"/>
      <c r="W1920" s="103"/>
      <c r="X1920" s="103"/>
      <c r="Y1920" s="103"/>
      <c r="Z1920" s="103"/>
      <c r="AA1920" s="103">
        <v>53</v>
      </c>
      <c r="AB1920" s="103"/>
      <c r="AC1920" s="103">
        <v>60</v>
      </c>
      <c r="AD1920" s="103"/>
      <c r="AE1920" s="103"/>
      <c r="AF1920" s="103"/>
      <c r="AG1920" s="103"/>
      <c r="AH1920" s="103"/>
      <c r="AI1920" s="103">
        <v>262</v>
      </c>
      <c r="AJ1920" s="103">
        <v>6</v>
      </c>
      <c r="AK1920" s="103"/>
      <c r="AL1920" s="103"/>
      <c r="AM1920" s="103">
        <v>26</v>
      </c>
      <c r="AN1920" s="103">
        <v>257</v>
      </c>
      <c r="AO1920" s="103">
        <v>75</v>
      </c>
      <c r="AP1920" s="103">
        <v>23</v>
      </c>
      <c r="AQ1920" s="103"/>
      <c r="AR1920" s="103"/>
      <c r="AS1920" s="103"/>
      <c r="AT1920" s="103"/>
      <c r="AU1920" s="103"/>
      <c r="AV1920" s="103"/>
      <c r="AW1920" s="104" t="str">
        <f>HYPERLINK("http://www.openstreetmap.org/?mlat=34.9314&amp;mlon=43.4958&amp;zoom=12#map=12/34.9314/43.4958","Maplink1")</f>
        <v>Maplink1</v>
      </c>
      <c r="AX1920" s="104" t="str">
        <f>HYPERLINK("https://www.google.iq/maps/search/+34.9314,43.4958/@34.9314,43.4958,14z?hl=en","Maplink2")</f>
        <v>Maplink2</v>
      </c>
      <c r="AY1920" s="104" t="str">
        <f>HYPERLINK("http://www.bing.com/maps/?lvl=14&amp;sty=h&amp;cp=34.9314~43.4958&amp;sp=point.34.9314_43.4958","Maplink3")</f>
        <v>Maplink3</v>
      </c>
    </row>
    <row r="1921" spans="1:51" x14ac:dyDescent="0.2">
      <c r="A1921" s="102">
        <v>33715</v>
      </c>
      <c r="B1921" s="103" t="s">
        <v>36</v>
      </c>
      <c r="C1921" s="103" t="s">
        <v>109</v>
      </c>
      <c r="D1921" s="103" t="s">
        <v>3678</v>
      </c>
      <c r="E1921" s="103" t="s">
        <v>2911</v>
      </c>
      <c r="F1921" s="103">
        <v>34.477460999999998</v>
      </c>
      <c r="G1921" s="103">
        <v>43.476022065000002</v>
      </c>
      <c r="H1921" s="102">
        <v>110</v>
      </c>
      <c r="I1921" s="102">
        <v>660</v>
      </c>
      <c r="J1921" s="103">
        <v>12</v>
      </c>
      <c r="K1921" s="103"/>
      <c r="L1921" s="103"/>
      <c r="M1921" s="103">
        <v>71</v>
      </c>
      <c r="N1921" s="103">
        <v>27</v>
      </c>
      <c r="O1921" s="103"/>
      <c r="P1921" s="103"/>
      <c r="Q1921" s="103"/>
      <c r="R1921" s="103"/>
      <c r="S1921" s="103"/>
      <c r="T1921" s="103"/>
      <c r="U1921" s="103"/>
      <c r="V1921" s="103"/>
      <c r="W1921" s="103"/>
      <c r="X1921" s="103"/>
      <c r="Y1921" s="103"/>
      <c r="Z1921" s="103"/>
      <c r="AA1921" s="103"/>
      <c r="AB1921" s="103"/>
      <c r="AC1921" s="103">
        <v>46</v>
      </c>
      <c r="AD1921" s="103"/>
      <c r="AE1921" s="103"/>
      <c r="AF1921" s="103"/>
      <c r="AG1921" s="103"/>
      <c r="AH1921" s="103"/>
      <c r="AI1921" s="103">
        <v>64</v>
      </c>
      <c r="AJ1921" s="103"/>
      <c r="AK1921" s="103"/>
      <c r="AL1921" s="103"/>
      <c r="AM1921" s="103"/>
      <c r="AN1921" s="103">
        <v>51</v>
      </c>
      <c r="AO1921" s="103">
        <v>59</v>
      </c>
      <c r="AP1921" s="103"/>
      <c r="AQ1921" s="103"/>
      <c r="AR1921" s="103"/>
      <c r="AS1921" s="103"/>
      <c r="AT1921" s="103"/>
      <c r="AU1921" s="103"/>
      <c r="AV1921" s="103"/>
      <c r="AW1921" s="104" t="str">
        <f>HYPERLINK("http://www.openstreetmap.org/?mlat=34.4775&amp;mlon=43.476&amp;zoom=12#map=12/34.4775/43.476","Maplink1")</f>
        <v>Maplink1</v>
      </c>
      <c r="AX1921" s="104" t="str">
        <f>HYPERLINK("https://www.google.iq/maps/search/+34.4775,43.476/@34.4775,43.476,14z?hl=en","Maplink2")</f>
        <v>Maplink2</v>
      </c>
      <c r="AY1921" s="104" t="str">
        <f>HYPERLINK("http://www.bing.com/maps/?lvl=14&amp;sty=h&amp;cp=34.4775~43.476&amp;sp=point.34.4775_43.476","Maplink3")</f>
        <v>Maplink3</v>
      </c>
    </row>
    <row r="1922" spans="1:51" x14ac:dyDescent="0.2">
      <c r="A1922" s="102">
        <v>33500</v>
      </c>
      <c r="B1922" s="103" t="s">
        <v>36</v>
      </c>
      <c r="C1922" s="103" t="s">
        <v>109</v>
      </c>
      <c r="D1922" s="103" t="s">
        <v>3670</v>
      </c>
      <c r="E1922" s="103" t="s">
        <v>3671</v>
      </c>
      <c r="F1922" s="103">
        <v>34.951570400000001</v>
      </c>
      <c r="G1922" s="103">
        <v>43.502051224900001</v>
      </c>
      <c r="H1922" s="102">
        <v>278</v>
      </c>
      <c r="I1922" s="102">
        <v>1668</v>
      </c>
      <c r="J1922" s="103"/>
      <c r="K1922" s="103"/>
      <c r="L1922" s="103"/>
      <c r="M1922" s="103">
        <v>248</v>
      </c>
      <c r="N1922" s="103">
        <v>30</v>
      </c>
      <c r="O1922" s="103"/>
      <c r="P1922" s="103"/>
      <c r="Q1922" s="103"/>
      <c r="R1922" s="103"/>
      <c r="S1922" s="103"/>
      <c r="T1922" s="103"/>
      <c r="U1922" s="103"/>
      <c r="V1922" s="103"/>
      <c r="W1922" s="103"/>
      <c r="X1922" s="103"/>
      <c r="Y1922" s="103"/>
      <c r="Z1922" s="103"/>
      <c r="AA1922" s="103">
        <v>3</v>
      </c>
      <c r="AB1922" s="103"/>
      <c r="AC1922" s="103">
        <v>30</v>
      </c>
      <c r="AD1922" s="103"/>
      <c r="AE1922" s="103"/>
      <c r="AF1922" s="103"/>
      <c r="AG1922" s="103"/>
      <c r="AH1922" s="103"/>
      <c r="AI1922" s="103">
        <v>245</v>
      </c>
      <c r="AJ1922" s="103"/>
      <c r="AK1922" s="103"/>
      <c r="AL1922" s="103"/>
      <c r="AM1922" s="103"/>
      <c r="AN1922" s="103">
        <v>257</v>
      </c>
      <c r="AO1922" s="103">
        <v>21</v>
      </c>
      <c r="AP1922" s="103"/>
      <c r="AQ1922" s="103"/>
      <c r="AR1922" s="103"/>
      <c r="AS1922" s="103"/>
      <c r="AT1922" s="103"/>
      <c r="AU1922" s="103"/>
      <c r="AV1922" s="103"/>
      <c r="AW1922" s="104" t="str">
        <f>HYPERLINK("http://www.openstreetmap.org/?mlat=34.9516&amp;mlon=43.5021&amp;zoom=12#map=12/34.9516/43.5021","Maplink1")</f>
        <v>Maplink1</v>
      </c>
      <c r="AX1922" s="104" t="str">
        <f>HYPERLINK("https://www.google.iq/maps/search/+34.9516,43.5021/@34.9516,43.5021,14z?hl=en","Maplink2")</f>
        <v>Maplink2</v>
      </c>
      <c r="AY1922" s="104" t="str">
        <f>HYPERLINK("http://www.bing.com/maps/?lvl=14&amp;sty=h&amp;cp=34.9516~43.5021&amp;sp=point.34.9516_43.5021","Maplink3")</f>
        <v>Maplink3</v>
      </c>
    </row>
    <row r="1923" spans="1:51" x14ac:dyDescent="0.2">
      <c r="A1923" s="102">
        <v>25742</v>
      </c>
      <c r="B1923" s="103" t="s">
        <v>36</v>
      </c>
      <c r="C1923" s="103" t="s">
        <v>110</v>
      </c>
      <c r="D1923" s="103" t="s">
        <v>3679</v>
      </c>
      <c r="E1923" s="103" t="s">
        <v>3680</v>
      </c>
      <c r="F1923" s="103">
        <v>34.032556085499998</v>
      </c>
      <c r="G1923" s="103">
        <v>44.231116239899997</v>
      </c>
      <c r="H1923" s="102">
        <v>380</v>
      </c>
      <c r="I1923" s="102">
        <v>2280</v>
      </c>
      <c r="J1923" s="103"/>
      <c r="K1923" s="103"/>
      <c r="L1923" s="103"/>
      <c r="M1923" s="103">
        <v>380</v>
      </c>
      <c r="N1923" s="103"/>
      <c r="O1923" s="103"/>
      <c r="P1923" s="103"/>
      <c r="Q1923" s="103"/>
      <c r="R1923" s="103"/>
      <c r="S1923" s="103"/>
      <c r="T1923" s="103"/>
      <c r="U1923" s="103"/>
      <c r="V1923" s="103"/>
      <c r="W1923" s="103">
        <v>375</v>
      </c>
      <c r="X1923" s="103"/>
      <c r="Y1923" s="103"/>
      <c r="Z1923" s="103"/>
      <c r="AA1923" s="103"/>
      <c r="AB1923" s="103"/>
      <c r="AC1923" s="103">
        <v>5</v>
      </c>
      <c r="AD1923" s="103"/>
      <c r="AE1923" s="103"/>
      <c r="AF1923" s="103"/>
      <c r="AG1923" s="103"/>
      <c r="AH1923" s="103"/>
      <c r="AI1923" s="103"/>
      <c r="AJ1923" s="103"/>
      <c r="AK1923" s="103"/>
      <c r="AL1923" s="103"/>
      <c r="AM1923" s="103">
        <v>5</v>
      </c>
      <c r="AN1923" s="103"/>
      <c r="AO1923" s="103">
        <v>175</v>
      </c>
      <c r="AP1923" s="103">
        <v>200</v>
      </c>
      <c r="AQ1923" s="103"/>
      <c r="AR1923" s="103"/>
      <c r="AS1923" s="103"/>
      <c r="AT1923" s="103"/>
      <c r="AU1923" s="103"/>
      <c r="AV1923" s="103"/>
      <c r="AW1923" s="104" t="str">
        <f>HYPERLINK("http://www.openstreetmap.org/?mlat=34.0326&amp;mlon=44.2311&amp;zoom=12#map=12/34.0326/44.2311","Maplink1")</f>
        <v>Maplink1</v>
      </c>
      <c r="AX1923" s="104" t="str">
        <f>HYPERLINK("https://www.google.iq/maps/search/+34.0326,44.2311/@34.0326,44.2311,14z?hl=en","Maplink2")</f>
        <v>Maplink2</v>
      </c>
      <c r="AY1923" s="104" t="str">
        <f>HYPERLINK("http://www.bing.com/maps/?lvl=14&amp;sty=h&amp;cp=34.0326~44.2311&amp;sp=point.34.0326_44.2311","Maplink3")</f>
        <v>Maplink3</v>
      </c>
    </row>
    <row r="1924" spans="1:51" x14ac:dyDescent="0.2">
      <c r="A1924" s="102">
        <v>20773</v>
      </c>
      <c r="B1924" s="103" t="s">
        <v>36</v>
      </c>
      <c r="C1924" s="103" t="s">
        <v>110</v>
      </c>
      <c r="D1924" s="103" t="s">
        <v>3681</v>
      </c>
      <c r="E1924" s="103" t="s">
        <v>3682</v>
      </c>
      <c r="F1924" s="103">
        <v>34.034433492799998</v>
      </c>
      <c r="G1924" s="103">
        <v>44.282596919</v>
      </c>
      <c r="H1924" s="102">
        <v>510</v>
      </c>
      <c r="I1924" s="102">
        <v>3060</v>
      </c>
      <c r="J1924" s="103"/>
      <c r="K1924" s="103"/>
      <c r="L1924" s="103"/>
      <c r="M1924" s="103">
        <v>510</v>
      </c>
      <c r="N1924" s="103"/>
      <c r="O1924" s="103"/>
      <c r="P1924" s="103"/>
      <c r="Q1924" s="103"/>
      <c r="R1924" s="103"/>
      <c r="S1924" s="103"/>
      <c r="T1924" s="103"/>
      <c r="U1924" s="103"/>
      <c r="V1924" s="103"/>
      <c r="W1924" s="103">
        <v>15</v>
      </c>
      <c r="X1924" s="103"/>
      <c r="Y1924" s="103"/>
      <c r="Z1924" s="103"/>
      <c r="AA1924" s="103">
        <v>8</v>
      </c>
      <c r="AB1924" s="103"/>
      <c r="AC1924" s="103">
        <v>187</v>
      </c>
      <c r="AD1924" s="103"/>
      <c r="AE1924" s="103"/>
      <c r="AF1924" s="103"/>
      <c r="AG1924" s="103"/>
      <c r="AH1924" s="103"/>
      <c r="AI1924" s="103">
        <v>300</v>
      </c>
      <c r="AJ1924" s="103"/>
      <c r="AK1924" s="103"/>
      <c r="AL1924" s="103"/>
      <c r="AM1924" s="103">
        <v>23</v>
      </c>
      <c r="AN1924" s="103">
        <v>487</v>
      </c>
      <c r="AO1924" s="103"/>
      <c r="AP1924" s="103"/>
      <c r="AQ1924" s="103"/>
      <c r="AR1924" s="103"/>
      <c r="AS1924" s="103"/>
      <c r="AT1924" s="103"/>
      <c r="AU1924" s="103"/>
      <c r="AV1924" s="103"/>
      <c r="AW1924" s="104" t="str">
        <f>HYPERLINK("http://www.openstreetmap.org/?mlat=34.0344&amp;mlon=44.2826&amp;zoom=12#map=12/34.0344/44.2826","Maplink1")</f>
        <v>Maplink1</v>
      </c>
      <c r="AX1924" s="104" t="str">
        <f>HYPERLINK("https://www.google.iq/maps/search/+34.0344,44.2826/@34.0344,44.2826,14z?hl=en","Maplink2")</f>
        <v>Maplink2</v>
      </c>
      <c r="AY1924" s="104" t="str">
        <f>HYPERLINK("http://www.bing.com/maps/?lvl=14&amp;sty=h&amp;cp=34.0344~44.2826&amp;sp=point.34.0344_44.2826","Maplink3")</f>
        <v>Maplink3</v>
      </c>
    </row>
    <row r="1925" spans="1:51" x14ac:dyDescent="0.2">
      <c r="A1925" s="102">
        <v>20878</v>
      </c>
      <c r="B1925" s="103" t="s">
        <v>36</v>
      </c>
      <c r="C1925" s="103" t="s">
        <v>110</v>
      </c>
      <c r="D1925" s="103" t="s">
        <v>3697</v>
      </c>
      <c r="E1925" s="103" t="s">
        <v>3698</v>
      </c>
      <c r="F1925" s="103">
        <v>34.066653000000002</v>
      </c>
      <c r="G1925" s="103">
        <v>44.169789999999999</v>
      </c>
      <c r="H1925" s="102">
        <v>560</v>
      </c>
      <c r="I1925" s="102">
        <v>3360</v>
      </c>
      <c r="J1925" s="103">
        <v>20</v>
      </c>
      <c r="K1925" s="103"/>
      <c r="L1925" s="103"/>
      <c r="M1925" s="103">
        <v>509</v>
      </c>
      <c r="N1925" s="103">
        <v>31</v>
      </c>
      <c r="O1925" s="103"/>
      <c r="P1925" s="103"/>
      <c r="Q1925" s="103"/>
      <c r="R1925" s="103"/>
      <c r="S1925" s="103"/>
      <c r="T1925" s="103"/>
      <c r="U1925" s="103"/>
      <c r="V1925" s="103"/>
      <c r="W1925" s="103">
        <v>121</v>
      </c>
      <c r="X1925" s="103"/>
      <c r="Y1925" s="103"/>
      <c r="Z1925" s="103">
        <v>30</v>
      </c>
      <c r="AA1925" s="103"/>
      <c r="AB1925" s="103"/>
      <c r="AC1925" s="103">
        <v>50</v>
      </c>
      <c r="AD1925" s="103"/>
      <c r="AE1925" s="103"/>
      <c r="AF1925" s="103"/>
      <c r="AG1925" s="103"/>
      <c r="AH1925" s="103"/>
      <c r="AI1925" s="103">
        <v>359</v>
      </c>
      <c r="AJ1925" s="103"/>
      <c r="AK1925" s="103"/>
      <c r="AL1925" s="103"/>
      <c r="AM1925" s="103">
        <v>104</v>
      </c>
      <c r="AN1925" s="103">
        <v>126</v>
      </c>
      <c r="AO1925" s="103">
        <v>120</v>
      </c>
      <c r="AP1925" s="103">
        <v>210</v>
      </c>
      <c r="AQ1925" s="103"/>
      <c r="AR1925" s="103"/>
      <c r="AS1925" s="103"/>
      <c r="AT1925" s="103"/>
      <c r="AU1925" s="103"/>
      <c r="AV1925" s="103"/>
      <c r="AW1925" s="104" t="str">
        <f>HYPERLINK("http://www.openstreetmap.org/?mlat=34.0667&amp;mlon=44.1698&amp;zoom=12#map=12/34.0667/44.1698","Maplink1")</f>
        <v>Maplink1</v>
      </c>
      <c r="AX1925" s="104" t="str">
        <f>HYPERLINK("https://www.google.iq/maps/search/+34.0667,44.1698/@34.0667,44.1698,14z?hl=en","Maplink2")</f>
        <v>Maplink2</v>
      </c>
      <c r="AY1925" s="104" t="str">
        <f>HYPERLINK("http://www.bing.com/maps/?lvl=14&amp;sty=h&amp;cp=34.0667~44.1698&amp;sp=point.34.0667_44.1698","Maplink3")</f>
        <v>Maplink3</v>
      </c>
    </row>
    <row r="1926" spans="1:51" x14ac:dyDescent="0.2">
      <c r="A1926" s="102">
        <v>33437</v>
      </c>
      <c r="B1926" s="103" t="s">
        <v>36</v>
      </c>
      <c r="C1926" s="103" t="s">
        <v>110</v>
      </c>
      <c r="D1926" s="103" t="s">
        <v>3691</v>
      </c>
      <c r="E1926" s="103" t="s">
        <v>3692</v>
      </c>
      <c r="F1926" s="103">
        <v>34.023395000000001</v>
      </c>
      <c r="G1926" s="103">
        <v>44.166704000000003</v>
      </c>
      <c r="H1926" s="102">
        <v>647</v>
      </c>
      <c r="I1926" s="102">
        <v>3882</v>
      </c>
      <c r="J1926" s="103">
        <v>18</v>
      </c>
      <c r="K1926" s="103"/>
      <c r="L1926" s="103">
        <v>120</v>
      </c>
      <c r="M1926" s="103">
        <v>509</v>
      </c>
      <c r="N1926" s="103"/>
      <c r="O1926" s="103"/>
      <c r="P1926" s="103"/>
      <c r="Q1926" s="103"/>
      <c r="R1926" s="103"/>
      <c r="S1926" s="103"/>
      <c r="T1926" s="103"/>
      <c r="U1926" s="103"/>
      <c r="V1926" s="103"/>
      <c r="W1926" s="103">
        <v>90</v>
      </c>
      <c r="X1926" s="103"/>
      <c r="Y1926" s="103"/>
      <c r="Z1926" s="103"/>
      <c r="AA1926" s="103"/>
      <c r="AB1926" s="103"/>
      <c r="AC1926" s="103"/>
      <c r="AD1926" s="103"/>
      <c r="AE1926" s="103"/>
      <c r="AF1926" s="103"/>
      <c r="AG1926" s="103"/>
      <c r="AH1926" s="103"/>
      <c r="AI1926" s="103">
        <v>557</v>
      </c>
      <c r="AJ1926" s="103"/>
      <c r="AK1926" s="103"/>
      <c r="AL1926" s="103"/>
      <c r="AM1926" s="103">
        <v>161</v>
      </c>
      <c r="AN1926" s="103">
        <v>273</v>
      </c>
      <c r="AO1926" s="103">
        <v>138</v>
      </c>
      <c r="AP1926" s="103">
        <v>75</v>
      </c>
      <c r="AQ1926" s="103"/>
      <c r="AR1926" s="103"/>
      <c r="AS1926" s="103"/>
      <c r="AT1926" s="103"/>
      <c r="AU1926" s="103"/>
      <c r="AV1926" s="103"/>
      <c r="AW1926" s="104" t="str">
        <f>HYPERLINK("http://www.openstreetmap.org/?mlat=34.0234&amp;mlon=44.1667&amp;zoom=12#map=12/34.0234/44.1667","Maplink1")</f>
        <v>Maplink1</v>
      </c>
      <c r="AX1926" s="104" t="str">
        <f>HYPERLINK("https://www.google.iq/maps/search/+34.0234,44.1667/@34.0234,44.1667,14z?hl=en","Maplink2")</f>
        <v>Maplink2</v>
      </c>
      <c r="AY1926" s="104" t="str">
        <f>HYPERLINK("http://www.bing.com/maps/?lvl=14&amp;sty=h&amp;cp=34.0234~44.1667&amp;sp=point.34.0234_44.1667","Maplink3")</f>
        <v>Maplink3</v>
      </c>
    </row>
    <row r="1927" spans="1:51" x14ac:dyDescent="0.2">
      <c r="A1927" s="102">
        <v>20921</v>
      </c>
      <c r="B1927" s="103" t="s">
        <v>36</v>
      </c>
      <c r="C1927" s="103" t="s">
        <v>110</v>
      </c>
      <c r="D1927" s="103" t="s">
        <v>3695</v>
      </c>
      <c r="E1927" s="103" t="s">
        <v>3696</v>
      </c>
      <c r="F1927" s="103">
        <v>34.032527654299997</v>
      </c>
      <c r="G1927" s="103">
        <v>44.206517797399997</v>
      </c>
      <c r="H1927" s="102">
        <v>540</v>
      </c>
      <c r="I1927" s="102">
        <v>3240</v>
      </c>
      <c r="J1927" s="103"/>
      <c r="K1927" s="103"/>
      <c r="L1927" s="103"/>
      <c r="M1927" s="103">
        <v>540</v>
      </c>
      <c r="N1927" s="103"/>
      <c r="O1927" s="103"/>
      <c r="P1927" s="103"/>
      <c r="Q1927" s="103"/>
      <c r="R1927" s="103"/>
      <c r="S1927" s="103"/>
      <c r="T1927" s="103"/>
      <c r="U1927" s="103"/>
      <c r="V1927" s="103"/>
      <c r="W1927" s="103">
        <v>162</v>
      </c>
      <c r="X1927" s="103"/>
      <c r="Y1927" s="103"/>
      <c r="Z1927" s="103"/>
      <c r="AA1927" s="103">
        <v>95</v>
      </c>
      <c r="AB1927" s="103"/>
      <c r="AC1927" s="103">
        <v>170</v>
      </c>
      <c r="AD1927" s="103"/>
      <c r="AE1927" s="103"/>
      <c r="AF1927" s="103"/>
      <c r="AG1927" s="103"/>
      <c r="AH1927" s="103"/>
      <c r="AI1927" s="103">
        <v>113</v>
      </c>
      <c r="AJ1927" s="103"/>
      <c r="AK1927" s="103"/>
      <c r="AL1927" s="103"/>
      <c r="AM1927" s="103"/>
      <c r="AN1927" s="103">
        <v>15</v>
      </c>
      <c r="AO1927" s="103">
        <v>325</v>
      </c>
      <c r="AP1927" s="103">
        <v>200</v>
      </c>
      <c r="AQ1927" s="103"/>
      <c r="AR1927" s="103"/>
      <c r="AS1927" s="103"/>
      <c r="AT1927" s="103"/>
      <c r="AU1927" s="103"/>
      <c r="AV1927" s="103"/>
      <c r="AW1927" s="104" t="str">
        <f>HYPERLINK("http://www.openstreetmap.org/?mlat=34.0325&amp;mlon=44.2065&amp;zoom=12#map=12/34.0325/44.2065","Maplink1")</f>
        <v>Maplink1</v>
      </c>
      <c r="AX1927" s="104" t="str">
        <f>HYPERLINK("https://www.google.iq/maps/search/+34.0325,44.2065/@34.0325,44.2065,14z?hl=en","Maplink2")</f>
        <v>Maplink2</v>
      </c>
      <c r="AY1927" s="104" t="str">
        <f>HYPERLINK("http://www.bing.com/maps/?lvl=14&amp;sty=h&amp;cp=34.0325~44.2065&amp;sp=point.34.0325_44.2065","Maplink3")</f>
        <v>Maplink3</v>
      </c>
    </row>
    <row r="1928" spans="1:51" x14ac:dyDescent="0.2">
      <c r="A1928" s="102">
        <v>23056</v>
      </c>
      <c r="B1928" s="103" t="s">
        <v>36</v>
      </c>
      <c r="C1928" s="103" t="s">
        <v>110</v>
      </c>
      <c r="D1928" s="103" t="s">
        <v>3685</v>
      </c>
      <c r="E1928" s="103" t="s">
        <v>3686</v>
      </c>
      <c r="F1928" s="103">
        <v>34.043058000000002</v>
      </c>
      <c r="G1928" s="103">
        <v>44.139454999999998</v>
      </c>
      <c r="H1928" s="102">
        <v>551</v>
      </c>
      <c r="I1928" s="102">
        <v>3306</v>
      </c>
      <c r="J1928" s="103"/>
      <c r="K1928" s="103"/>
      <c r="L1928" s="103"/>
      <c r="M1928" s="103">
        <v>426</v>
      </c>
      <c r="N1928" s="103">
        <v>125</v>
      </c>
      <c r="O1928" s="103"/>
      <c r="P1928" s="103"/>
      <c r="Q1928" s="103"/>
      <c r="R1928" s="103"/>
      <c r="S1928" s="103"/>
      <c r="T1928" s="103"/>
      <c r="U1928" s="103"/>
      <c r="V1928" s="103"/>
      <c r="W1928" s="103">
        <v>76</v>
      </c>
      <c r="X1928" s="103"/>
      <c r="Y1928" s="103"/>
      <c r="Z1928" s="103"/>
      <c r="AA1928" s="103">
        <v>80</v>
      </c>
      <c r="AB1928" s="103"/>
      <c r="AC1928" s="103"/>
      <c r="AD1928" s="103"/>
      <c r="AE1928" s="103"/>
      <c r="AF1928" s="103"/>
      <c r="AG1928" s="103"/>
      <c r="AH1928" s="103"/>
      <c r="AI1928" s="103">
        <v>395</v>
      </c>
      <c r="AJ1928" s="103"/>
      <c r="AK1928" s="103"/>
      <c r="AL1928" s="103"/>
      <c r="AM1928" s="103">
        <v>153</v>
      </c>
      <c r="AN1928" s="103">
        <v>99</v>
      </c>
      <c r="AO1928" s="103">
        <v>69</v>
      </c>
      <c r="AP1928" s="103">
        <v>230</v>
      </c>
      <c r="AQ1928" s="103"/>
      <c r="AR1928" s="103"/>
      <c r="AS1928" s="103"/>
      <c r="AT1928" s="103"/>
      <c r="AU1928" s="103"/>
      <c r="AV1928" s="103"/>
      <c r="AW1928" s="104" t="str">
        <f>HYPERLINK("http://www.openstreetmap.org/?mlat=34.0431&amp;mlon=44.1395&amp;zoom=12#map=12/34.0431/44.1395","Maplink1")</f>
        <v>Maplink1</v>
      </c>
      <c r="AX1928" s="104" t="str">
        <f>HYPERLINK("https://www.google.iq/maps/search/+34.0431,44.1395/@34.0431,44.1395,14z?hl=en","Maplink2")</f>
        <v>Maplink2</v>
      </c>
      <c r="AY1928" s="104" t="str">
        <f>HYPERLINK("http://www.bing.com/maps/?lvl=14&amp;sty=h&amp;cp=34.0431~44.1395&amp;sp=point.34.0431_44.1395","Maplink3")</f>
        <v>Maplink3</v>
      </c>
    </row>
    <row r="1929" spans="1:51" x14ac:dyDescent="0.2">
      <c r="A1929" s="102">
        <v>20770</v>
      </c>
      <c r="B1929" s="103" t="s">
        <v>36</v>
      </c>
      <c r="C1929" s="103" t="s">
        <v>110</v>
      </c>
      <c r="D1929" s="103" t="s">
        <v>3689</v>
      </c>
      <c r="E1929" s="103" t="s">
        <v>3690</v>
      </c>
      <c r="F1929" s="103">
        <v>34.0480818869</v>
      </c>
      <c r="G1929" s="103">
        <v>44.218840530999998</v>
      </c>
      <c r="H1929" s="102">
        <v>413</v>
      </c>
      <c r="I1929" s="102">
        <v>2478</v>
      </c>
      <c r="J1929" s="103"/>
      <c r="K1929" s="103"/>
      <c r="L1929" s="103"/>
      <c r="M1929" s="103">
        <v>413</v>
      </c>
      <c r="N1929" s="103"/>
      <c r="O1929" s="103"/>
      <c r="P1929" s="103"/>
      <c r="Q1929" s="103"/>
      <c r="R1929" s="103"/>
      <c r="S1929" s="103"/>
      <c r="T1929" s="103"/>
      <c r="U1929" s="103"/>
      <c r="V1929" s="103"/>
      <c r="W1929" s="103">
        <v>300</v>
      </c>
      <c r="X1929" s="103"/>
      <c r="Y1929" s="103"/>
      <c r="Z1929" s="103"/>
      <c r="AA1929" s="103">
        <v>13</v>
      </c>
      <c r="AB1929" s="103"/>
      <c r="AC1929" s="103"/>
      <c r="AD1929" s="103"/>
      <c r="AE1929" s="103"/>
      <c r="AF1929" s="103"/>
      <c r="AG1929" s="103"/>
      <c r="AH1929" s="103"/>
      <c r="AI1929" s="103">
        <v>100</v>
      </c>
      <c r="AJ1929" s="103"/>
      <c r="AK1929" s="103"/>
      <c r="AL1929" s="103"/>
      <c r="AM1929" s="103">
        <v>300</v>
      </c>
      <c r="AN1929" s="103">
        <v>75</v>
      </c>
      <c r="AO1929" s="103">
        <v>38</v>
      </c>
      <c r="AP1929" s="103"/>
      <c r="AQ1929" s="103"/>
      <c r="AR1929" s="103"/>
      <c r="AS1929" s="103"/>
      <c r="AT1929" s="103"/>
      <c r="AU1929" s="103"/>
      <c r="AV1929" s="103"/>
      <c r="AW1929" s="104" t="str">
        <f>HYPERLINK("http://www.openstreetmap.org/?mlat=34.0481&amp;mlon=44.2188&amp;zoom=12#map=12/34.0481/44.2188","Maplink1")</f>
        <v>Maplink1</v>
      </c>
      <c r="AX1929" s="104" t="str">
        <f>HYPERLINK("https://www.google.iq/maps/search/+34.0481,44.2188/@34.0481,44.2188,14z?hl=en","Maplink2")</f>
        <v>Maplink2</v>
      </c>
      <c r="AY1929" s="104" t="str">
        <f>HYPERLINK("http://www.bing.com/maps/?lvl=14&amp;sty=h&amp;cp=34.0481~44.2188&amp;sp=point.34.0481_44.2188","Maplink3")</f>
        <v>Maplink3</v>
      </c>
    </row>
    <row r="1930" spans="1:51" x14ac:dyDescent="0.2">
      <c r="A1930" s="102">
        <v>29565</v>
      </c>
      <c r="B1930" s="103" t="s">
        <v>36</v>
      </c>
      <c r="C1930" s="103" t="s">
        <v>110</v>
      </c>
      <c r="D1930" s="103" t="s">
        <v>3699</v>
      </c>
      <c r="E1930" s="103" t="s">
        <v>3700</v>
      </c>
      <c r="F1930" s="103">
        <v>34.028011999999997</v>
      </c>
      <c r="G1930" s="103">
        <v>44.257036788699999</v>
      </c>
      <c r="H1930" s="102">
        <v>5832</v>
      </c>
      <c r="I1930" s="102">
        <v>34992</v>
      </c>
      <c r="J1930" s="103">
        <v>193</v>
      </c>
      <c r="K1930" s="103"/>
      <c r="L1930" s="103">
        <v>170</v>
      </c>
      <c r="M1930" s="103">
        <v>5368</v>
      </c>
      <c r="N1930" s="103">
        <v>101</v>
      </c>
      <c r="O1930" s="103"/>
      <c r="P1930" s="103"/>
      <c r="Q1930" s="103"/>
      <c r="R1930" s="103"/>
      <c r="S1930" s="103"/>
      <c r="T1930" s="103"/>
      <c r="U1930" s="103"/>
      <c r="V1930" s="103"/>
      <c r="W1930" s="103">
        <v>1364</v>
      </c>
      <c r="X1930" s="103"/>
      <c r="Y1930" s="103"/>
      <c r="Z1930" s="103"/>
      <c r="AA1930" s="103">
        <v>631</v>
      </c>
      <c r="AB1930" s="103"/>
      <c r="AC1930" s="103">
        <v>250</v>
      </c>
      <c r="AD1930" s="103"/>
      <c r="AE1930" s="103"/>
      <c r="AF1930" s="103"/>
      <c r="AG1930" s="103"/>
      <c r="AH1930" s="103"/>
      <c r="AI1930" s="103">
        <v>3587</v>
      </c>
      <c r="AJ1930" s="103"/>
      <c r="AK1930" s="103"/>
      <c r="AL1930" s="103"/>
      <c r="AM1930" s="103">
        <v>1207</v>
      </c>
      <c r="AN1930" s="103">
        <v>1129</v>
      </c>
      <c r="AO1930" s="103">
        <v>1060</v>
      </c>
      <c r="AP1930" s="103">
        <v>2436</v>
      </c>
      <c r="AQ1930" s="103"/>
      <c r="AR1930" s="103"/>
      <c r="AS1930" s="103"/>
      <c r="AT1930" s="103"/>
      <c r="AU1930" s="103"/>
      <c r="AV1930" s="103"/>
      <c r="AW1930" s="104" t="str">
        <f>HYPERLINK("http://www.openstreetmap.org/?mlat=34.028&amp;mlon=44.257&amp;zoom=12#map=12/34.028/44.257","Maplink1")</f>
        <v>Maplink1</v>
      </c>
      <c r="AX1930" s="104" t="str">
        <f>HYPERLINK("https://www.google.iq/maps/search/+34.028,44.257/@34.028,44.257,14z?hl=en","Maplink2")</f>
        <v>Maplink2</v>
      </c>
      <c r="AY1930" s="104" t="str">
        <f>HYPERLINK("http://www.bing.com/maps/?lvl=14&amp;sty=h&amp;cp=34.028~44.257&amp;sp=point.34.028_44.257","Maplink3")</f>
        <v>Maplink3</v>
      </c>
    </row>
    <row r="1931" spans="1:51" x14ac:dyDescent="0.2">
      <c r="A1931" s="102">
        <v>21484</v>
      </c>
      <c r="B1931" s="103" t="s">
        <v>36</v>
      </c>
      <c r="C1931" s="103" t="s">
        <v>110</v>
      </c>
      <c r="D1931" s="103" t="s">
        <v>3687</v>
      </c>
      <c r="E1931" s="103" t="s">
        <v>3688</v>
      </c>
      <c r="F1931" s="103">
        <v>34.004272999999998</v>
      </c>
      <c r="G1931" s="103">
        <v>44.016961000000002</v>
      </c>
      <c r="H1931" s="102">
        <v>522</v>
      </c>
      <c r="I1931" s="102">
        <v>3132</v>
      </c>
      <c r="J1931" s="103"/>
      <c r="K1931" s="103"/>
      <c r="L1931" s="103"/>
      <c r="M1931" s="103">
        <v>400</v>
      </c>
      <c r="N1931" s="103">
        <v>122</v>
      </c>
      <c r="O1931" s="103"/>
      <c r="P1931" s="103"/>
      <c r="Q1931" s="103"/>
      <c r="R1931" s="103"/>
      <c r="S1931" s="103"/>
      <c r="T1931" s="103"/>
      <c r="U1931" s="103"/>
      <c r="V1931" s="103"/>
      <c r="W1931" s="103">
        <v>87</v>
      </c>
      <c r="X1931" s="103"/>
      <c r="Y1931" s="103"/>
      <c r="Z1931" s="103"/>
      <c r="AA1931" s="103"/>
      <c r="AB1931" s="103"/>
      <c r="AC1931" s="103"/>
      <c r="AD1931" s="103"/>
      <c r="AE1931" s="103"/>
      <c r="AF1931" s="103"/>
      <c r="AG1931" s="103"/>
      <c r="AH1931" s="103"/>
      <c r="AI1931" s="103">
        <v>435</v>
      </c>
      <c r="AJ1931" s="103"/>
      <c r="AK1931" s="103"/>
      <c r="AL1931" s="103"/>
      <c r="AM1931" s="103">
        <v>87</v>
      </c>
      <c r="AN1931" s="103">
        <v>90</v>
      </c>
      <c r="AO1931" s="103">
        <v>102</v>
      </c>
      <c r="AP1931" s="103">
        <v>243</v>
      </c>
      <c r="AQ1931" s="103"/>
      <c r="AR1931" s="103"/>
      <c r="AS1931" s="103"/>
      <c r="AT1931" s="103"/>
      <c r="AU1931" s="103"/>
      <c r="AV1931" s="103"/>
      <c r="AW1931" s="104" t="str">
        <f>HYPERLINK("http://www.openstreetmap.org/?mlat=34.0043&amp;mlon=44.017&amp;zoom=12#map=12/34.0043/44.017","Maplink1")</f>
        <v>Maplink1</v>
      </c>
      <c r="AX1931" s="104" t="str">
        <f>HYPERLINK("https://www.google.iq/maps/search/+34.0043,44.017/@34.0043,44.017,14z?hl=en","Maplink2")</f>
        <v>Maplink2</v>
      </c>
      <c r="AY1931" s="104" t="str">
        <f>HYPERLINK("http://www.bing.com/maps/?lvl=14&amp;sty=h&amp;cp=34.0043~44.017&amp;sp=point.34.0043_44.017","Maplink3")</f>
        <v>Maplink3</v>
      </c>
    </row>
    <row r="1932" spans="1:51" x14ac:dyDescent="0.2">
      <c r="A1932" s="102">
        <v>20767</v>
      </c>
      <c r="B1932" s="103" t="s">
        <v>36</v>
      </c>
      <c r="C1932" s="103" t="s">
        <v>110</v>
      </c>
      <c r="D1932" s="103" t="s">
        <v>3693</v>
      </c>
      <c r="E1932" s="103" t="s">
        <v>3694</v>
      </c>
      <c r="F1932" s="103">
        <v>34.060025253699997</v>
      </c>
      <c r="G1932" s="103">
        <v>44.218007415899997</v>
      </c>
      <c r="H1932" s="102">
        <v>513</v>
      </c>
      <c r="I1932" s="102">
        <v>3078</v>
      </c>
      <c r="J1932" s="103"/>
      <c r="K1932" s="103"/>
      <c r="L1932" s="103"/>
      <c r="M1932" s="103">
        <v>513</v>
      </c>
      <c r="N1932" s="103"/>
      <c r="O1932" s="103"/>
      <c r="P1932" s="103"/>
      <c r="Q1932" s="103"/>
      <c r="R1932" s="103"/>
      <c r="S1932" s="103"/>
      <c r="T1932" s="103"/>
      <c r="U1932" s="103"/>
      <c r="V1932" s="103"/>
      <c r="W1932" s="103"/>
      <c r="X1932" s="103"/>
      <c r="Y1932" s="103"/>
      <c r="Z1932" s="103"/>
      <c r="AA1932" s="103"/>
      <c r="AB1932" s="103"/>
      <c r="AC1932" s="103">
        <v>313</v>
      </c>
      <c r="AD1932" s="103"/>
      <c r="AE1932" s="103"/>
      <c r="AF1932" s="103"/>
      <c r="AG1932" s="103"/>
      <c r="AH1932" s="103"/>
      <c r="AI1932" s="103">
        <v>200</v>
      </c>
      <c r="AJ1932" s="103"/>
      <c r="AK1932" s="103"/>
      <c r="AL1932" s="103"/>
      <c r="AM1932" s="103"/>
      <c r="AN1932" s="103">
        <v>150</v>
      </c>
      <c r="AO1932" s="103">
        <v>200</v>
      </c>
      <c r="AP1932" s="103">
        <v>163</v>
      </c>
      <c r="AQ1932" s="103"/>
      <c r="AR1932" s="103"/>
      <c r="AS1932" s="103"/>
      <c r="AT1932" s="103"/>
      <c r="AU1932" s="103"/>
      <c r="AV1932" s="103"/>
      <c r="AW1932" s="104" t="str">
        <f>HYPERLINK("http://www.openstreetmap.org/?mlat=34.06&amp;mlon=44.218&amp;zoom=12#map=12/34.06/44.218","Maplink1")</f>
        <v>Maplink1</v>
      </c>
      <c r="AX1932" s="104" t="str">
        <f>HYPERLINK("https://www.google.iq/maps/search/+34.06,44.218/@34.06,44.218,14z?hl=en","Maplink2")</f>
        <v>Maplink2</v>
      </c>
      <c r="AY1932" s="104" t="str">
        <f>HYPERLINK("http://www.bing.com/maps/?lvl=14&amp;sty=h&amp;cp=34.06~44.218&amp;sp=point.34.06_44.218","Maplink3")</f>
        <v>Maplink3</v>
      </c>
    </row>
    <row r="1933" spans="1:51" x14ac:dyDescent="0.2">
      <c r="A1933" s="102">
        <v>33367</v>
      </c>
      <c r="B1933" s="103" t="s">
        <v>36</v>
      </c>
      <c r="C1933" s="103" t="s">
        <v>110</v>
      </c>
      <c r="D1933" s="103" t="s">
        <v>3683</v>
      </c>
      <c r="E1933" s="103" t="s">
        <v>3684</v>
      </c>
      <c r="F1933" s="103">
        <v>34.038609999999998</v>
      </c>
      <c r="G1933" s="103">
        <v>44.187223000000003</v>
      </c>
      <c r="H1933" s="102">
        <v>557</v>
      </c>
      <c r="I1933" s="102">
        <v>3342</v>
      </c>
      <c r="J1933" s="103"/>
      <c r="K1933" s="103"/>
      <c r="L1933" s="103">
        <v>30</v>
      </c>
      <c r="M1933" s="103">
        <v>352</v>
      </c>
      <c r="N1933" s="103">
        <v>175</v>
      </c>
      <c r="O1933" s="103"/>
      <c r="P1933" s="103"/>
      <c r="Q1933" s="103"/>
      <c r="R1933" s="103"/>
      <c r="S1933" s="103"/>
      <c r="T1933" s="103"/>
      <c r="U1933" s="103"/>
      <c r="V1933" s="103"/>
      <c r="W1933" s="103">
        <v>79</v>
      </c>
      <c r="X1933" s="103"/>
      <c r="Y1933" s="103"/>
      <c r="Z1933" s="103"/>
      <c r="AA1933" s="103">
        <v>96</v>
      </c>
      <c r="AB1933" s="103"/>
      <c r="AC1933" s="103"/>
      <c r="AD1933" s="103"/>
      <c r="AE1933" s="103"/>
      <c r="AF1933" s="103"/>
      <c r="AG1933" s="103"/>
      <c r="AH1933" s="103"/>
      <c r="AI1933" s="103">
        <v>382</v>
      </c>
      <c r="AJ1933" s="103"/>
      <c r="AK1933" s="103"/>
      <c r="AL1933" s="103"/>
      <c r="AM1933" s="103">
        <v>185</v>
      </c>
      <c r="AN1933" s="103">
        <v>132</v>
      </c>
      <c r="AO1933" s="103">
        <v>123</v>
      </c>
      <c r="AP1933" s="103">
        <v>117</v>
      </c>
      <c r="AQ1933" s="103"/>
      <c r="AR1933" s="103"/>
      <c r="AS1933" s="103"/>
      <c r="AT1933" s="103"/>
      <c r="AU1933" s="103"/>
      <c r="AV1933" s="103"/>
      <c r="AW1933" s="104" t="str">
        <f>HYPERLINK("http://www.openstreetmap.org/?mlat=34.0386&amp;mlon=44.1872&amp;zoom=12#map=12/34.0386/44.1872","Maplink1")</f>
        <v>Maplink1</v>
      </c>
      <c r="AX1933" s="104" t="str">
        <f>HYPERLINK("https://www.google.iq/maps/search/+34.0386,44.1872/@34.0386,44.1872,14z?hl=en","Maplink2")</f>
        <v>Maplink2</v>
      </c>
      <c r="AY1933" s="104" t="str">
        <f>HYPERLINK("http://www.bing.com/maps/?lvl=14&amp;sty=h&amp;cp=34.0386~44.1872&amp;sp=point.34.0386_44.1872","Maplink3")</f>
        <v>Maplink3</v>
      </c>
    </row>
    <row r="1934" spans="1:51" x14ac:dyDescent="0.2">
      <c r="A1934" s="102">
        <v>20673</v>
      </c>
      <c r="B1934" s="103" t="s">
        <v>36</v>
      </c>
      <c r="C1934" s="103" t="s">
        <v>111</v>
      </c>
      <c r="D1934" s="103" t="s">
        <v>3712</v>
      </c>
      <c r="E1934" s="103" t="s">
        <v>3713</v>
      </c>
      <c r="F1934" s="103">
        <v>34.240887667999999</v>
      </c>
      <c r="G1934" s="103">
        <v>43.893121238799999</v>
      </c>
      <c r="H1934" s="102">
        <v>983</v>
      </c>
      <c r="I1934" s="102">
        <v>5898</v>
      </c>
      <c r="J1934" s="103"/>
      <c r="K1934" s="103"/>
      <c r="L1934" s="103"/>
      <c r="M1934" s="103">
        <v>866</v>
      </c>
      <c r="N1934" s="103"/>
      <c r="O1934" s="103">
        <v>117</v>
      </c>
      <c r="P1934" s="103"/>
      <c r="Q1934" s="103"/>
      <c r="R1934" s="103"/>
      <c r="S1934" s="103"/>
      <c r="T1934" s="103"/>
      <c r="U1934" s="103"/>
      <c r="V1934" s="103"/>
      <c r="W1934" s="103"/>
      <c r="X1934" s="103"/>
      <c r="Y1934" s="103"/>
      <c r="Z1934" s="103"/>
      <c r="AA1934" s="103"/>
      <c r="AB1934" s="103"/>
      <c r="AC1934" s="103"/>
      <c r="AD1934" s="103"/>
      <c r="AE1934" s="103"/>
      <c r="AF1934" s="103"/>
      <c r="AG1934" s="103"/>
      <c r="AH1934" s="103"/>
      <c r="AI1934" s="103">
        <v>983</v>
      </c>
      <c r="AJ1934" s="103"/>
      <c r="AK1934" s="103"/>
      <c r="AL1934" s="103"/>
      <c r="AM1934" s="103"/>
      <c r="AN1934" s="103">
        <v>317</v>
      </c>
      <c r="AO1934" s="103">
        <v>152</v>
      </c>
      <c r="AP1934" s="103">
        <v>91</v>
      </c>
      <c r="AQ1934" s="103">
        <v>418</v>
      </c>
      <c r="AR1934" s="103">
        <v>5</v>
      </c>
      <c r="AS1934" s="103"/>
      <c r="AT1934" s="103"/>
      <c r="AU1934" s="103"/>
      <c r="AV1934" s="103"/>
      <c r="AW1934" s="104" t="str">
        <f>HYPERLINK("http://www.openstreetmap.org/?mlat=34.2409&amp;mlon=43.8931&amp;zoom=12#map=12/34.2409/43.8931","Maplink1")</f>
        <v>Maplink1</v>
      </c>
      <c r="AX1934" s="104" t="str">
        <f>HYPERLINK("https://www.google.iq/maps/search/+34.2409,43.8931/@34.2409,43.8931,14z?hl=en","Maplink2")</f>
        <v>Maplink2</v>
      </c>
      <c r="AY1934" s="104" t="str">
        <f>HYPERLINK("http://www.bing.com/maps/?lvl=14&amp;sty=h&amp;cp=34.2409~43.8931&amp;sp=point.34.2409_43.8931","Maplink3")</f>
        <v>Maplink3</v>
      </c>
    </row>
    <row r="1935" spans="1:51" x14ac:dyDescent="0.2">
      <c r="A1935" s="102">
        <v>23781</v>
      </c>
      <c r="B1935" s="103" t="s">
        <v>36</v>
      </c>
      <c r="C1935" s="103" t="s">
        <v>111</v>
      </c>
      <c r="D1935" s="103" t="s">
        <v>3718</v>
      </c>
      <c r="E1935" s="103" t="s">
        <v>3719</v>
      </c>
      <c r="F1935" s="103">
        <v>34.082253486799999</v>
      </c>
      <c r="G1935" s="103">
        <v>44.055491779</v>
      </c>
      <c r="H1935" s="102">
        <v>312</v>
      </c>
      <c r="I1935" s="102">
        <v>1872</v>
      </c>
      <c r="J1935" s="103"/>
      <c r="K1935" s="103"/>
      <c r="L1935" s="103"/>
      <c r="M1935" s="103">
        <v>312</v>
      </c>
      <c r="N1935" s="103"/>
      <c r="O1935" s="103"/>
      <c r="P1935" s="103"/>
      <c r="Q1935" s="103"/>
      <c r="R1935" s="103"/>
      <c r="S1935" s="103"/>
      <c r="T1935" s="103"/>
      <c r="U1935" s="103"/>
      <c r="V1935" s="103"/>
      <c r="W1935" s="103"/>
      <c r="X1935" s="103"/>
      <c r="Y1935" s="103"/>
      <c r="Z1935" s="103"/>
      <c r="AA1935" s="103">
        <v>11</v>
      </c>
      <c r="AB1935" s="103"/>
      <c r="AC1935" s="103">
        <v>18</v>
      </c>
      <c r="AD1935" s="103"/>
      <c r="AE1935" s="103"/>
      <c r="AF1935" s="103"/>
      <c r="AG1935" s="103"/>
      <c r="AH1935" s="103"/>
      <c r="AI1935" s="103">
        <v>276</v>
      </c>
      <c r="AJ1935" s="103">
        <v>7</v>
      </c>
      <c r="AK1935" s="103"/>
      <c r="AL1935" s="103"/>
      <c r="AM1935" s="103"/>
      <c r="AN1935" s="103">
        <v>216</v>
      </c>
      <c r="AO1935" s="103">
        <v>71</v>
      </c>
      <c r="AP1935" s="103">
        <v>25</v>
      </c>
      <c r="AQ1935" s="103"/>
      <c r="AR1935" s="103"/>
      <c r="AS1935" s="103"/>
      <c r="AT1935" s="103"/>
      <c r="AU1935" s="103"/>
      <c r="AV1935" s="103"/>
      <c r="AW1935" s="104" t="str">
        <f>HYPERLINK("http://www.openstreetmap.org/?mlat=34.0823&amp;mlon=44.0555&amp;zoom=12#map=12/34.0823/44.0555","Maplink1")</f>
        <v>Maplink1</v>
      </c>
      <c r="AX1935" s="104" t="str">
        <f>HYPERLINK("https://www.google.iq/maps/search/+34.0823,44.0555/@34.0823,44.0555,14z?hl=en","Maplink2")</f>
        <v>Maplink2</v>
      </c>
      <c r="AY1935" s="104" t="str">
        <f>HYPERLINK("http://www.bing.com/maps/?lvl=14&amp;sty=h&amp;cp=34.0823~44.0555&amp;sp=point.34.0823_44.0555","Maplink3")</f>
        <v>Maplink3</v>
      </c>
    </row>
    <row r="1936" spans="1:51" x14ac:dyDescent="0.2">
      <c r="A1936" s="102">
        <v>29539</v>
      </c>
      <c r="B1936" s="103" t="s">
        <v>36</v>
      </c>
      <c r="C1936" s="103" t="s">
        <v>111</v>
      </c>
      <c r="D1936" s="103" t="s">
        <v>3716</v>
      </c>
      <c r="E1936" s="103" t="s">
        <v>3717</v>
      </c>
      <c r="F1936" s="103">
        <v>34.369047176999999</v>
      </c>
      <c r="G1936" s="103">
        <v>43.759199883800001</v>
      </c>
      <c r="H1936" s="102">
        <v>2935</v>
      </c>
      <c r="I1936" s="102">
        <v>17610</v>
      </c>
      <c r="J1936" s="103"/>
      <c r="K1936" s="103"/>
      <c r="L1936" s="103">
        <v>18</v>
      </c>
      <c r="M1936" s="103">
        <v>2834</v>
      </c>
      <c r="N1936" s="103"/>
      <c r="O1936" s="103">
        <v>83</v>
      </c>
      <c r="P1936" s="103"/>
      <c r="Q1936" s="103"/>
      <c r="R1936" s="103"/>
      <c r="S1936" s="103"/>
      <c r="T1936" s="103"/>
      <c r="U1936" s="103"/>
      <c r="V1936" s="103"/>
      <c r="W1936" s="103">
        <v>248</v>
      </c>
      <c r="X1936" s="103"/>
      <c r="Y1936" s="103"/>
      <c r="Z1936" s="103"/>
      <c r="AA1936" s="103">
        <v>35</v>
      </c>
      <c r="AB1936" s="103"/>
      <c r="AC1936" s="103">
        <v>48</v>
      </c>
      <c r="AD1936" s="103"/>
      <c r="AE1936" s="103"/>
      <c r="AF1936" s="103"/>
      <c r="AG1936" s="103"/>
      <c r="AH1936" s="103"/>
      <c r="AI1936" s="103">
        <v>2565</v>
      </c>
      <c r="AJ1936" s="103">
        <v>39</v>
      </c>
      <c r="AK1936" s="103"/>
      <c r="AL1936" s="103"/>
      <c r="AM1936" s="103"/>
      <c r="AN1936" s="103">
        <v>1400</v>
      </c>
      <c r="AO1936" s="103">
        <v>560</v>
      </c>
      <c r="AP1936" s="103">
        <v>240</v>
      </c>
      <c r="AQ1936" s="103">
        <v>380</v>
      </c>
      <c r="AR1936" s="103">
        <v>355</v>
      </c>
      <c r="AS1936" s="103"/>
      <c r="AT1936" s="103"/>
      <c r="AU1936" s="103"/>
      <c r="AV1936" s="103"/>
      <c r="AW1936" s="104" t="str">
        <f>HYPERLINK("http://www.openstreetmap.org/?mlat=34.369&amp;mlon=43.7592&amp;zoom=12#map=12/34.369/43.7592","Maplink1")</f>
        <v>Maplink1</v>
      </c>
      <c r="AX1936" s="104" t="str">
        <f>HYPERLINK("https://www.google.iq/maps/search/+34.369,43.7592/@34.369,43.7592,14z?hl=en","Maplink2")</f>
        <v>Maplink2</v>
      </c>
      <c r="AY1936" s="104" t="str">
        <f>HYPERLINK("http://www.bing.com/maps/?lvl=14&amp;sty=h&amp;cp=34.369~43.7592&amp;sp=point.34.369_43.7592","Maplink3")</f>
        <v>Maplink3</v>
      </c>
    </row>
    <row r="1937" spans="1:51" x14ac:dyDescent="0.2">
      <c r="A1937" s="102">
        <v>20674</v>
      </c>
      <c r="B1937" s="103" t="s">
        <v>36</v>
      </c>
      <c r="C1937" s="103" t="s">
        <v>111</v>
      </c>
      <c r="D1937" s="103" t="s">
        <v>3701</v>
      </c>
      <c r="E1937" s="103" t="s">
        <v>3702</v>
      </c>
      <c r="F1937" s="103">
        <v>34.195151645700001</v>
      </c>
      <c r="G1937" s="103">
        <v>43.8074836694</v>
      </c>
      <c r="H1937" s="102">
        <v>832</v>
      </c>
      <c r="I1937" s="102">
        <v>4992</v>
      </c>
      <c r="J1937" s="103"/>
      <c r="K1937" s="103"/>
      <c r="L1937" s="103"/>
      <c r="M1937" s="103">
        <v>817</v>
      </c>
      <c r="N1937" s="103">
        <v>15</v>
      </c>
      <c r="O1937" s="103"/>
      <c r="P1937" s="103"/>
      <c r="Q1937" s="103"/>
      <c r="R1937" s="103"/>
      <c r="S1937" s="103"/>
      <c r="T1937" s="103"/>
      <c r="U1937" s="103"/>
      <c r="V1937" s="103"/>
      <c r="W1937" s="103"/>
      <c r="X1937" s="103"/>
      <c r="Y1937" s="103"/>
      <c r="Z1937" s="103"/>
      <c r="AA1937" s="103"/>
      <c r="AB1937" s="103"/>
      <c r="AC1937" s="103"/>
      <c r="AD1937" s="103"/>
      <c r="AE1937" s="103"/>
      <c r="AF1937" s="103"/>
      <c r="AG1937" s="103">
        <v>34</v>
      </c>
      <c r="AH1937" s="103"/>
      <c r="AI1937" s="103">
        <v>798</v>
      </c>
      <c r="AJ1937" s="103"/>
      <c r="AK1937" s="103"/>
      <c r="AL1937" s="103"/>
      <c r="AM1937" s="103">
        <v>22</v>
      </c>
      <c r="AN1937" s="103">
        <v>394</v>
      </c>
      <c r="AO1937" s="103">
        <v>70</v>
      </c>
      <c r="AP1937" s="103">
        <v>21</v>
      </c>
      <c r="AQ1937" s="103">
        <v>256</v>
      </c>
      <c r="AR1937" s="103">
        <v>27</v>
      </c>
      <c r="AS1937" s="103">
        <v>42</v>
      </c>
      <c r="AT1937" s="103"/>
      <c r="AU1937" s="103"/>
      <c r="AV1937" s="103"/>
      <c r="AW1937" s="104" t="str">
        <f>HYPERLINK("http://www.openstreetmap.org/?mlat=34.1952&amp;mlon=43.8075&amp;zoom=12#map=12/34.1952/43.8075","Maplink1")</f>
        <v>Maplink1</v>
      </c>
      <c r="AX1937" s="104" t="str">
        <f>HYPERLINK("https://www.google.iq/maps/search/+34.1952,43.8075/@34.1952,43.8075,14z?hl=en","Maplink2")</f>
        <v>Maplink2</v>
      </c>
      <c r="AY1937" s="104" t="str">
        <f>HYPERLINK("http://www.bing.com/maps/?lvl=14&amp;sty=h&amp;cp=34.1952~43.8075&amp;sp=point.34.1952_43.8075","Maplink3")</f>
        <v>Maplink3</v>
      </c>
    </row>
    <row r="1938" spans="1:51" x14ac:dyDescent="0.2">
      <c r="A1938" s="102">
        <v>23774</v>
      </c>
      <c r="B1938" s="103" t="s">
        <v>36</v>
      </c>
      <c r="C1938" s="103" t="s">
        <v>111</v>
      </c>
      <c r="D1938" s="103" t="s">
        <v>3706</v>
      </c>
      <c r="E1938" s="103" t="s">
        <v>3707</v>
      </c>
      <c r="F1938" s="103">
        <v>34.094749772900002</v>
      </c>
      <c r="G1938" s="103">
        <v>44.050097940500002</v>
      </c>
      <c r="H1938" s="102">
        <v>384</v>
      </c>
      <c r="I1938" s="102">
        <v>2304</v>
      </c>
      <c r="J1938" s="103"/>
      <c r="K1938" s="103"/>
      <c r="L1938" s="103"/>
      <c r="M1938" s="103">
        <v>384</v>
      </c>
      <c r="N1938" s="103"/>
      <c r="O1938" s="103"/>
      <c r="P1938" s="103"/>
      <c r="Q1938" s="103"/>
      <c r="R1938" s="103"/>
      <c r="S1938" s="103"/>
      <c r="T1938" s="103"/>
      <c r="U1938" s="103"/>
      <c r="V1938" s="103"/>
      <c r="W1938" s="103"/>
      <c r="X1938" s="103"/>
      <c r="Y1938" s="103"/>
      <c r="Z1938" s="103"/>
      <c r="AA1938" s="103"/>
      <c r="AB1938" s="103"/>
      <c r="AC1938" s="103"/>
      <c r="AD1938" s="103"/>
      <c r="AE1938" s="103"/>
      <c r="AF1938" s="103"/>
      <c r="AG1938" s="103"/>
      <c r="AH1938" s="103"/>
      <c r="AI1938" s="103">
        <v>384</v>
      </c>
      <c r="AJ1938" s="103"/>
      <c r="AK1938" s="103"/>
      <c r="AL1938" s="103"/>
      <c r="AM1938" s="103"/>
      <c r="AN1938" s="103"/>
      <c r="AO1938" s="103">
        <v>352</v>
      </c>
      <c r="AP1938" s="103">
        <v>32</v>
      </c>
      <c r="AQ1938" s="103"/>
      <c r="AR1938" s="103"/>
      <c r="AS1938" s="103"/>
      <c r="AT1938" s="103"/>
      <c r="AU1938" s="103"/>
      <c r="AV1938" s="103"/>
      <c r="AW1938" s="104" t="str">
        <f>HYPERLINK("http://www.openstreetmap.org/?mlat=34.0947&amp;mlon=44.0501&amp;zoom=12#map=12/34.0947/44.0501","Maplink1")</f>
        <v>Maplink1</v>
      </c>
      <c r="AX1938" s="104" t="str">
        <f>HYPERLINK("https://www.google.iq/maps/search/+34.0947,44.0501/@34.0947,44.0501,14z?hl=en","Maplink2")</f>
        <v>Maplink2</v>
      </c>
      <c r="AY1938" s="104" t="str">
        <f>HYPERLINK("http://www.bing.com/maps/?lvl=14&amp;sty=h&amp;cp=34.0947~44.0501&amp;sp=point.34.0947_44.0501","Maplink3")</f>
        <v>Maplink3</v>
      </c>
    </row>
    <row r="1939" spans="1:51" x14ac:dyDescent="0.2">
      <c r="A1939" s="102">
        <v>20695</v>
      </c>
      <c r="B1939" s="103" t="s">
        <v>36</v>
      </c>
      <c r="C1939" s="103" t="s">
        <v>111</v>
      </c>
      <c r="D1939" s="103" t="s">
        <v>3703</v>
      </c>
      <c r="E1939" s="103" t="s">
        <v>1706</v>
      </c>
      <c r="F1939" s="103">
        <v>34.300923929500001</v>
      </c>
      <c r="G1939" s="103">
        <v>43.780313143500003</v>
      </c>
      <c r="H1939" s="102">
        <v>488</v>
      </c>
      <c r="I1939" s="102">
        <v>2928</v>
      </c>
      <c r="J1939" s="103"/>
      <c r="K1939" s="103"/>
      <c r="L1939" s="103"/>
      <c r="M1939" s="103">
        <v>488</v>
      </c>
      <c r="N1939" s="103"/>
      <c r="O1939" s="103"/>
      <c r="P1939" s="103"/>
      <c r="Q1939" s="103"/>
      <c r="R1939" s="103"/>
      <c r="S1939" s="103"/>
      <c r="T1939" s="103"/>
      <c r="U1939" s="103"/>
      <c r="V1939" s="103"/>
      <c r="W1939" s="103"/>
      <c r="X1939" s="103"/>
      <c r="Y1939" s="103"/>
      <c r="Z1939" s="103"/>
      <c r="AA1939" s="103">
        <v>30</v>
      </c>
      <c r="AB1939" s="103"/>
      <c r="AC1939" s="103">
        <v>33</v>
      </c>
      <c r="AD1939" s="103"/>
      <c r="AE1939" s="103"/>
      <c r="AF1939" s="103"/>
      <c r="AG1939" s="103"/>
      <c r="AH1939" s="103"/>
      <c r="AI1939" s="103">
        <v>390</v>
      </c>
      <c r="AJ1939" s="103">
        <v>35</v>
      </c>
      <c r="AK1939" s="103"/>
      <c r="AL1939" s="103"/>
      <c r="AM1939" s="103"/>
      <c r="AN1939" s="103"/>
      <c r="AO1939" s="103"/>
      <c r="AP1939" s="103">
        <v>448</v>
      </c>
      <c r="AQ1939" s="103">
        <v>40</v>
      </c>
      <c r="AR1939" s="103"/>
      <c r="AS1939" s="103"/>
      <c r="AT1939" s="103"/>
      <c r="AU1939" s="103"/>
      <c r="AV1939" s="103"/>
      <c r="AW1939" s="104" t="str">
        <f>HYPERLINK("http://www.openstreetmap.org/?mlat=34.3009&amp;mlon=43.7803&amp;zoom=12#map=12/34.3009/43.7803","Maplink1")</f>
        <v>Maplink1</v>
      </c>
      <c r="AX1939" s="104" t="str">
        <f>HYPERLINK("https://www.google.iq/maps/search/+34.3009,43.7803/@34.3009,43.7803,14z?hl=en","Maplink2")</f>
        <v>Maplink2</v>
      </c>
      <c r="AY1939" s="104" t="str">
        <f>HYPERLINK("http://www.bing.com/maps/?lvl=14&amp;sty=h&amp;cp=34.3009~43.7803&amp;sp=point.34.3009_43.7803","Maplink3")</f>
        <v>Maplink3</v>
      </c>
    </row>
    <row r="1940" spans="1:51" x14ac:dyDescent="0.2">
      <c r="A1940" s="102">
        <v>33608</v>
      </c>
      <c r="B1940" s="103" t="s">
        <v>36</v>
      </c>
      <c r="C1940" s="103" t="s">
        <v>111</v>
      </c>
      <c r="D1940" s="103" t="s">
        <v>3714</v>
      </c>
      <c r="E1940" s="103" t="s">
        <v>3715</v>
      </c>
      <c r="F1940" s="103">
        <v>34.148833000000003</v>
      </c>
      <c r="G1940" s="103">
        <v>43.949508396900001</v>
      </c>
      <c r="H1940" s="102">
        <v>380</v>
      </c>
      <c r="I1940" s="102">
        <v>2280</v>
      </c>
      <c r="J1940" s="103"/>
      <c r="K1940" s="103"/>
      <c r="L1940" s="103"/>
      <c r="M1940" s="103">
        <v>380</v>
      </c>
      <c r="N1940" s="103"/>
      <c r="O1940" s="103"/>
      <c r="P1940" s="103"/>
      <c r="Q1940" s="103"/>
      <c r="R1940" s="103"/>
      <c r="S1940" s="103"/>
      <c r="T1940" s="103"/>
      <c r="U1940" s="103"/>
      <c r="V1940" s="103"/>
      <c r="W1940" s="103"/>
      <c r="X1940" s="103"/>
      <c r="Y1940" s="103"/>
      <c r="Z1940" s="103"/>
      <c r="AA1940" s="103"/>
      <c r="AB1940" s="103"/>
      <c r="AC1940" s="103"/>
      <c r="AD1940" s="103"/>
      <c r="AE1940" s="103"/>
      <c r="AF1940" s="103"/>
      <c r="AG1940" s="103"/>
      <c r="AH1940" s="103"/>
      <c r="AI1940" s="103">
        <v>380</v>
      </c>
      <c r="AJ1940" s="103"/>
      <c r="AK1940" s="103"/>
      <c r="AL1940" s="103"/>
      <c r="AM1940" s="103"/>
      <c r="AN1940" s="103"/>
      <c r="AO1940" s="103">
        <v>59</v>
      </c>
      <c r="AP1940" s="103">
        <v>243</v>
      </c>
      <c r="AQ1940" s="103">
        <v>78</v>
      </c>
      <c r="AR1940" s="103"/>
      <c r="AS1940" s="103"/>
      <c r="AT1940" s="103"/>
      <c r="AU1940" s="103"/>
      <c r="AV1940" s="103"/>
      <c r="AW1940" s="104" t="str">
        <f>HYPERLINK("http://www.openstreetmap.org/?mlat=34.1488&amp;mlon=43.9495&amp;zoom=12#map=12/34.1488/43.9495","Maplink1")</f>
        <v>Maplink1</v>
      </c>
      <c r="AX1940" s="104" t="str">
        <f>HYPERLINK("https://www.google.iq/maps/search/+34.1488,43.9495/@34.1488,43.9495,14z?hl=en","Maplink2")</f>
        <v>Maplink2</v>
      </c>
      <c r="AY1940" s="104" t="str">
        <f>HYPERLINK("http://www.bing.com/maps/?lvl=14&amp;sty=h&amp;cp=34.1488~43.9495&amp;sp=point.34.1488_43.9495","Maplink3")</f>
        <v>Maplink3</v>
      </c>
    </row>
    <row r="1941" spans="1:51" x14ac:dyDescent="0.2">
      <c r="A1941" s="102">
        <v>25926</v>
      </c>
      <c r="B1941" s="103" t="s">
        <v>36</v>
      </c>
      <c r="C1941" s="103" t="s">
        <v>111</v>
      </c>
      <c r="D1941" s="103" t="s">
        <v>3704</v>
      </c>
      <c r="E1941" s="103" t="s">
        <v>3705</v>
      </c>
      <c r="F1941" s="103">
        <v>34.261378990499999</v>
      </c>
      <c r="G1941" s="103">
        <v>43.875413127199998</v>
      </c>
      <c r="H1941" s="102">
        <v>507</v>
      </c>
      <c r="I1941" s="102">
        <v>3042</v>
      </c>
      <c r="J1941" s="103"/>
      <c r="K1941" s="103"/>
      <c r="L1941" s="103"/>
      <c r="M1941" s="103">
        <v>507</v>
      </c>
      <c r="N1941" s="103"/>
      <c r="O1941" s="103"/>
      <c r="P1941" s="103"/>
      <c r="Q1941" s="103"/>
      <c r="R1941" s="103"/>
      <c r="S1941" s="103"/>
      <c r="T1941" s="103"/>
      <c r="U1941" s="103"/>
      <c r="V1941" s="103"/>
      <c r="W1941" s="103"/>
      <c r="X1941" s="103"/>
      <c r="Y1941" s="103"/>
      <c r="Z1941" s="103"/>
      <c r="AA1941" s="103"/>
      <c r="AB1941" s="103"/>
      <c r="AC1941" s="103"/>
      <c r="AD1941" s="103"/>
      <c r="AE1941" s="103"/>
      <c r="AF1941" s="103"/>
      <c r="AG1941" s="103"/>
      <c r="AH1941" s="103"/>
      <c r="AI1941" s="103">
        <v>507</v>
      </c>
      <c r="AJ1941" s="103"/>
      <c r="AK1941" s="103"/>
      <c r="AL1941" s="103"/>
      <c r="AM1941" s="103"/>
      <c r="AN1941" s="103"/>
      <c r="AO1941" s="103"/>
      <c r="AP1941" s="103">
        <v>490</v>
      </c>
      <c r="AQ1941" s="103">
        <v>17</v>
      </c>
      <c r="AR1941" s="103"/>
      <c r="AS1941" s="103"/>
      <c r="AT1941" s="103"/>
      <c r="AU1941" s="103"/>
      <c r="AV1941" s="103"/>
      <c r="AW1941" s="104" t="str">
        <f>HYPERLINK("http://www.openstreetmap.org/?mlat=34.2614&amp;mlon=43.8754&amp;zoom=12#map=12/34.2614/43.8754","Maplink1")</f>
        <v>Maplink1</v>
      </c>
      <c r="AX1941" s="104" t="str">
        <f>HYPERLINK("https://www.google.iq/maps/search/+34.2614,43.8754/@34.2614,43.8754,14z?hl=en","Maplink2")</f>
        <v>Maplink2</v>
      </c>
      <c r="AY1941" s="104" t="str">
        <f>HYPERLINK("http://www.bing.com/maps/?lvl=14&amp;sty=h&amp;cp=34.2614~43.8754&amp;sp=point.34.2614_43.8754","Maplink3")</f>
        <v>Maplink3</v>
      </c>
    </row>
    <row r="1942" spans="1:51" x14ac:dyDescent="0.2">
      <c r="A1942" s="102">
        <v>20752</v>
      </c>
      <c r="B1942" s="103" t="s">
        <v>36</v>
      </c>
      <c r="C1942" s="103" t="s">
        <v>111</v>
      </c>
      <c r="D1942" s="103" t="s">
        <v>3708</v>
      </c>
      <c r="E1942" s="103" t="s">
        <v>3709</v>
      </c>
      <c r="F1942" s="103">
        <v>34.246202213700002</v>
      </c>
      <c r="G1942" s="103">
        <v>43.660998999999997</v>
      </c>
      <c r="H1942" s="102">
        <v>2348</v>
      </c>
      <c r="I1942" s="102">
        <v>14088</v>
      </c>
      <c r="J1942" s="103"/>
      <c r="K1942" s="103"/>
      <c r="L1942" s="103"/>
      <c r="M1942" s="103">
        <v>2326</v>
      </c>
      <c r="N1942" s="103">
        <v>22</v>
      </c>
      <c r="O1942" s="103"/>
      <c r="P1942" s="103"/>
      <c r="Q1942" s="103"/>
      <c r="R1942" s="103"/>
      <c r="S1942" s="103"/>
      <c r="T1942" s="103"/>
      <c r="U1942" s="103"/>
      <c r="V1942" s="103"/>
      <c r="W1942" s="103"/>
      <c r="X1942" s="103"/>
      <c r="Y1942" s="103"/>
      <c r="Z1942" s="103"/>
      <c r="AA1942" s="103"/>
      <c r="AB1942" s="103"/>
      <c r="AC1942" s="103"/>
      <c r="AD1942" s="103"/>
      <c r="AE1942" s="103"/>
      <c r="AF1942" s="103"/>
      <c r="AG1942" s="103"/>
      <c r="AH1942" s="103"/>
      <c r="AI1942" s="103">
        <v>2348</v>
      </c>
      <c r="AJ1942" s="103"/>
      <c r="AK1942" s="103"/>
      <c r="AL1942" s="103"/>
      <c r="AM1942" s="103"/>
      <c r="AN1942" s="103"/>
      <c r="AO1942" s="103"/>
      <c r="AP1942" s="103">
        <v>180</v>
      </c>
      <c r="AQ1942" s="103">
        <v>331</v>
      </c>
      <c r="AR1942" s="103">
        <v>1751</v>
      </c>
      <c r="AS1942" s="103">
        <v>86</v>
      </c>
      <c r="AT1942" s="103"/>
      <c r="AU1942" s="103"/>
      <c r="AV1942" s="103"/>
      <c r="AW1942" s="104" t="str">
        <f>HYPERLINK("http://www.openstreetmap.org/?mlat=34.2462&amp;mlon=43.661&amp;zoom=12#map=12/34.2462/43.661","Maplink1")</f>
        <v>Maplink1</v>
      </c>
      <c r="AX1942" s="104" t="str">
        <f>HYPERLINK("https://www.google.iq/maps/search/+34.2462,43.661/@34.2462,43.661,14z?hl=en","Maplink2")</f>
        <v>Maplink2</v>
      </c>
      <c r="AY1942" s="104" t="str">
        <f>HYPERLINK("http://www.bing.com/maps/?lvl=14&amp;sty=h&amp;cp=34.2462~43.661&amp;sp=point.34.2462_43.661","Maplink3")</f>
        <v>Maplink3</v>
      </c>
    </row>
    <row r="1943" spans="1:51" x14ac:dyDescent="0.2">
      <c r="A1943" s="102">
        <v>23775</v>
      </c>
      <c r="B1943" s="103" t="s">
        <v>36</v>
      </c>
      <c r="C1943" s="103" t="s">
        <v>111</v>
      </c>
      <c r="D1943" s="103" t="s">
        <v>3710</v>
      </c>
      <c r="E1943" s="103" t="s">
        <v>3711</v>
      </c>
      <c r="F1943" s="103">
        <v>34.075383804700003</v>
      </c>
      <c r="G1943" s="103">
        <v>44.070164132899997</v>
      </c>
      <c r="H1943" s="102">
        <v>267</v>
      </c>
      <c r="I1943" s="102">
        <v>1602</v>
      </c>
      <c r="J1943" s="103"/>
      <c r="K1943" s="103"/>
      <c r="L1943" s="103"/>
      <c r="M1943" s="103">
        <v>267</v>
      </c>
      <c r="N1943" s="103"/>
      <c r="O1943" s="103"/>
      <c r="P1943" s="103"/>
      <c r="Q1943" s="103"/>
      <c r="R1943" s="103"/>
      <c r="S1943" s="103"/>
      <c r="T1943" s="103"/>
      <c r="U1943" s="103"/>
      <c r="V1943" s="103"/>
      <c r="W1943" s="103"/>
      <c r="X1943" s="103"/>
      <c r="Y1943" s="103"/>
      <c r="Z1943" s="103"/>
      <c r="AA1943" s="103">
        <v>21</v>
      </c>
      <c r="AB1943" s="103"/>
      <c r="AC1943" s="103">
        <v>39</v>
      </c>
      <c r="AD1943" s="103"/>
      <c r="AE1943" s="103"/>
      <c r="AF1943" s="103"/>
      <c r="AG1943" s="103"/>
      <c r="AH1943" s="103"/>
      <c r="AI1943" s="103">
        <v>184</v>
      </c>
      <c r="AJ1943" s="103">
        <v>23</v>
      </c>
      <c r="AK1943" s="103"/>
      <c r="AL1943" s="103"/>
      <c r="AM1943" s="103"/>
      <c r="AN1943" s="103">
        <v>176</v>
      </c>
      <c r="AO1943" s="103">
        <v>43</v>
      </c>
      <c r="AP1943" s="103">
        <v>48</v>
      </c>
      <c r="AQ1943" s="103"/>
      <c r="AR1943" s="103"/>
      <c r="AS1943" s="103"/>
      <c r="AT1943" s="103"/>
      <c r="AU1943" s="103"/>
      <c r="AV1943" s="103"/>
      <c r="AW1943" s="104" t="str">
        <f>HYPERLINK("http://www.openstreetmap.org/?mlat=34.0754&amp;mlon=44.0702&amp;zoom=12#map=12/34.0754/44.0702","Maplink1")</f>
        <v>Maplink1</v>
      </c>
      <c r="AX1943" s="104" t="str">
        <f>HYPERLINK("https://www.google.iq/maps/search/+34.0754,44.0702/@34.0754,44.0702,14z?hl=en","Maplink2")</f>
        <v>Maplink2</v>
      </c>
      <c r="AY1943" s="104" t="str">
        <f>HYPERLINK("http://www.bing.com/maps/?lvl=14&amp;sty=h&amp;cp=34.0754~44.0702&amp;sp=point.34.0754_44.0702","Maplink3")</f>
        <v>Maplink3</v>
      </c>
    </row>
    <row r="1944" spans="1:51" x14ac:dyDescent="0.2">
      <c r="A1944" s="102">
        <v>23527</v>
      </c>
      <c r="B1944" s="103" t="s">
        <v>36</v>
      </c>
      <c r="C1944" s="103" t="s">
        <v>112</v>
      </c>
      <c r="D1944" s="103" t="s">
        <v>4015</v>
      </c>
      <c r="E1944" s="103" t="s">
        <v>4016</v>
      </c>
      <c r="F1944" s="103">
        <v>34.774034</v>
      </c>
      <c r="G1944" s="103">
        <v>43.890529000000001</v>
      </c>
      <c r="H1944" s="102">
        <v>650</v>
      </c>
      <c r="I1944" s="102">
        <v>3900</v>
      </c>
      <c r="J1944" s="103"/>
      <c r="K1944" s="103"/>
      <c r="L1944" s="103"/>
      <c r="M1944" s="103">
        <v>550</v>
      </c>
      <c r="N1944" s="103">
        <v>100</v>
      </c>
      <c r="O1944" s="103"/>
      <c r="P1944" s="103"/>
      <c r="Q1944" s="103"/>
      <c r="R1944" s="103"/>
      <c r="S1944" s="103"/>
      <c r="T1944" s="103"/>
      <c r="U1944" s="103"/>
      <c r="V1944" s="103">
        <v>15</v>
      </c>
      <c r="W1944" s="103">
        <v>90</v>
      </c>
      <c r="X1944" s="103">
        <v>25</v>
      </c>
      <c r="Y1944" s="103"/>
      <c r="Z1944" s="103">
        <v>45</v>
      </c>
      <c r="AA1944" s="103"/>
      <c r="AB1944" s="103">
        <v>25</v>
      </c>
      <c r="AC1944" s="103">
        <v>350</v>
      </c>
      <c r="AD1944" s="103"/>
      <c r="AE1944" s="103"/>
      <c r="AF1944" s="103"/>
      <c r="AG1944" s="103">
        <v>80</v>
      </c>
      <c r="AH1944" s="103"/>
      <c r="AI1944" s="103"/>
      <c r="AJ1944" s="103"/>
      <c r="AK1944" s="103">
        <v>20</v>
      </c>
      <c r="AL1944" s="103"/>
      <c r="AM1944" s="103"/>
      <c r="AN1944" s="103">
        <v>150</v>
      </c>
      <c r="AO1944" s="103">
        <v>300</v>
      </c>
      <c r="AP1944" s="103">
        <v>200</v>
      </c>
      <c r="AQ1944" s="103"/>
      <c r="AR1944" s="103"/>
      <c r="AS1944" s="103"/>
      <c r="AT1944" s="103"/>
      <c r="AU1944" s="103"/>
      <c r="AV1944" s="103"/>
      <c r="AW1944" s="104" t="str">
        <f>HYPERLINK("http://www.openstreetmap.org/?mlat=34.774&amp;mlon=43.8905&amp;zoom=12#map=12/34.774/43.8905","Maplink1")</f>
        <v>Maplink1</v>
      </c>
      <c r="AX1944" s="104" t="str">
        <f>HYPERLINK("https://www.google.iq/maps/search/+34.774,43.8905/@34.774,43.8905,14z?hl=en","Maplink2")</f>
        <v>Maplink2</v>
      </c>
      <c r="AY1944" s="104" t="str">
        <f>HYPERLINK("http://www.bing.com/maps/?lvl=14&amp;sty=h&amp;cp=34.774~43.8905&amp;sp=point.34.774_43.8905","Maplink3")</f>
        <v>Maplink3</v>
      </c>
    </row>
    <row r="1945" spans="1:51" x14ac:dyDescent="0.2">
      <c r="A1945" s="102">
        <v>22812</v>
      </c>
      <c r="B1945" s="103" t="s">
        <v>36</v>
      </c>
      <c r="C1945" s="103" t="s">
        <v>112</v>
      </c>
      <c r="D1945" s="103" t="s">
        <v>3738</v>
      </c>
      <c r="E1945" s="103" t="s">
        <v>3739</v>
      </c>
      <c r="F1945" s="103">
        <v>34.603651282400001</v>
      </c>
      <c r="G1945" s="103">
        <v>43.674734942599997</v>
      </c>
      <c r="H1945" s="102">
        <v>740</v>
      </c>
      <c r="I1945" s="102">
        <v>4440</v>
      </c>
      <c r="J1945" s="103"/>
      <c r="K1945" s="103"/>
      <c r="L1945" s="103"/>
      <c r="M1945" s="103">
        <v>740</v>
      </c>
      <c r="N1945" s="103"/>
      <c r="O1945" s="103"/>
      <c r="P1945" s="103"/>
      <c r="Q1945" s="103"/>
      <c r="R1945" s="103"/>
      <c r="S1945" s="103"/>
      <c r="T1945" s="103"/>
      <c r="U1945" s="103"/>
      <c r="V1945" s="103"/>
      <c r="W1945" s="103">
        <v>18</v>
      </c>
      <c r="X1945" s="103"/>
      <c r="Y1945" s="103"/>
      <c r="Z1945" s="103"/>
      <c r="AA1945" s="103">
        <v>229</v>
      </c>
      <c r="AB1945" s="103"/>
      <c r="AC1945" s="103">
        <v>307</v>
      </c>
      <c r="AD1945" s="103"/>
      <c r="AE1945" s="103"/>
      <c r="AF1945" s="103"/>
      <c r="AG1945" s="103"/>
      <c r="AH1945" s="103"/>
      <c r="AI1945" s="103">
        <v>37</v>
      </c>
      <c r="AJ1945" s="103">
        <v>149</v>
      </c>
      <c r="AK1945" s="103"/>
      <c r="AL1945" s="103"/>
      <c r="AM1945" s="103"/>
      <c r="AN1945" s="103">
        <v>700</v>
      </c>
      <c r="AO1945" s="103">
        <v>40</v>
      </c>
      <c r="AP1945" s="103"/>
      <c r="AQ1945" s="103"/>
      <c r="AR1945" s="103"/>
      <c r="AS1945" s="103"/>
      <c r="AT1945" s="103"/>
      <c r="AU1945" s="103"/>
      <c r="AV1945" s="103"/>
      <c r="AW1945" s="104" t="str">
        <f>HYPERLINK("http://www.openstreetmap.org/?mlat=34.6037&amp;mlon=43.6747&amp;zoom=12#map=12/34.6037/43.6747","Maplink1")</f>
        <v>Maplink1</v>
      </c>
      <c r="AX1945" s="104" t="str">
        <f>HYPERLINK("https://www.google.iq/maps/search/+34.6037,43.6747/@34.6037,43.6747,14z?hl=en","Maplink2")</f>
        <v>Maplink2</v>
      </c>
      <c r="AY1945" s="104" t="str">
        <f>HYPERLINK("http://www.bing.com/maps/?lvl=14&amp;sty=h&amp;cp=34.6037~43.6747&amp;sp=point.34.6037_43.6747","Maplink3")</f>
        <v>Maplink3</v>
      </c>
    </row>
    <row r="1946" spans="1:51" x14ac:dyDescent="0.2">
      <c r="A1946" s="102">
        <v>28419</v>
      </c>
      <c r="B1946" s="103" t="s">
        <v>36</v>
      </c>
      <c r="C1946" s="103" t="s">
        <v>112</v>
      </c>
      <c r="D1946" s="103" t="s">
        <v>3740</v>
      </c>
      <c r="E1946" s="103" t="s">
        <v>3741</v>
      </c>
      <c r="F1946" s="103">
        <v>34.714579395900003</v>
      </c>
      <c r="G1946" s="103">
        <v>43.618155730799998</v>
      </c>
      <c r="H1946" s="102">
        <v>130</v>
      </c>
      <c r="I1946" s="102">
        <v>780</v>
      </c>
      <c r="J1946" s="103"/>
      <c r="K1946" s="103"/>
      <c r="L1946" s="103"/>
      <c r="M1946" s="103"/>
      <c r="N1946" s="103">
        <v>130</v>
      </c>
      <c r="O1946" s="103"/>
      <c r="P1946" s="103"/>
      <c r="Q1946" s="103"/>
      <c r="R1946" s="103"/>
      <c r="S1946" s="103"/>
      <c r="T1946" s="103"/>
      <c r="U1946" s="103"/>
      <c r="V1946" s="103"/>
      <c r="W1946" s="103"/>
      <c r="X1946" s="103"/>
      <c r="Y1946" s="103"/>
      <c r="Z1946" s="103"/>
      <c r="AA1946" s="103"/>
      <c r="AB1946" s="103"/>
      <c r="AC1946" s="103">
        <v>130</v>
      </c>
      <c r="AD1946" s="103"/>
      <c r="AE1946" s="103"/>
      <c r="AF1946" s="103"/>
      <c r="AG1946" s="103"/>
      <c r="AH1946" s="103"/>
      <c r="AI1946" s="103"/>
      <c r="AJ1946" s="103"/>
      <c r="AK1946" s="103"/>
      <c r="AL1946" s="103"/>
      <c r="AM1946" s="103"/>
      <c r="AN1946" s="103">
        <v>130</v>
      </c>
      <c r="AO1946" s="103"/>
      <c r="AP1946" s="103"/>
      <c r="AQ1946" s="103"/>
      <c r="AR1946" s="103"/>
      <c r="AS1946" s="103"/>
      <c r="AT1946" s="103"/>
      <c r="AU1946" s="103"/>
      <c r="AV1946" s="103"/>
      <c r="AW1946" s="104" t="str">
        <f>HYPERLINK("http://www.openstreetmap.org/?mlat=34.7146&amp;mlon=43.6182&amp;zoom=12#map=12/34.7146/43.6182","Maplink1")</f>
        <v>Maplink1</v>
      </c>
      <c r="AX1946" s="104" t="str">
        <f>HYPERLINK("https://www.google.iq/maps/search/+34.7146,43.6182/@34.7146,43.6182,14z?hl=en","Maplink2")</f>
        <v>Maplink2</v>
      </c>
      <c r="AY1946" s="104" t="str">
        <f>HYPERLINK("http://www.bing.com/maps/?lvl=14&amp;sty=h&amp;cp=34.7146~43.6182&amp;sp=point.34.7146_43.6182","Maplink3")</f>
        <v>Maplink3</v>
      </c>
    </row>
    <row r="1947" spans="1:51" x14ac:dyDescent="0.2">
      <c r="A1947" s="102">
        <v>20622</v>
      </c>
      <c r="B1947" s="103" t="s">
        <v>36</v>
      </c>
      <c r="C1947" s="103" t="s">
        <v>112</v>
      </c>
      <c r="D1947" s="103" t="s">
        <v>3817</v>
      </c>
      <c r="E1947" s="103" t="s">
        <v>3818</v>
      </c>
      <c r="F1947" s="103">
        <v>34.700964448800001</v>
      </c>
      <c r="G1947" s="103">
        <v>43.610637353800001</v>
      </c>
      <c r="H1947" s="102">
        <v>187</v>
      </c>
      <c r="I1947" s="102">
        <v>1122</v>
      </c>
      <c r="J1947" s="103"/>
      <c r="K1947" s="103"/>
      <c r="L1947" s="103"/>
      <c r="M1947" s="103">
        <v>185</v>
      </c>
      <c r="N1947" s="103">
        <v>2</v>
      </c>
      <c r="O1947" s="103"/>
      <c r="P1947" s="103"/>
      <c r="Q1947" s="103"/>
      <c r="R1947" s="103"/>
      <c r="S1947" s="103"/>
      <c r="T1947" s="103"/>
      <c r="U1947" s="103"/>
      <c r="V1947" s="103"/>
      <c r="W1947" s="103">
        <v>36</v>
      </c>
      <c r="X1947" s="103"/>
      <c r="Y1947" s="103">
        <v>5</v>
      </c>
      <c r="Z1947" s="103"/>
      <c r="AA1947" s="103"/>
      <c r="AB1947" s="103"/>
      <c r="AC1947" s="103">
        <v>100</v>
      </c>
      <c r="AD1947" s="103"/>
      <c r="AE1947" s="103"/>
      <c r="AF1947" s="103"/>
      <c r="AG1947" s="103">
        <v>6</v>
      </c>
      <c r="AH1947" s="103"/>
      <c r="AI1947" s="103">
        <v>30</v>
      </c>
      <c r="AJ1947" s="103">
        <v>10</v>
      </c>
      <c r="AK1947" s="103"/>
      <c r="AL1947" s="103"/>
      <c r="AM1947" s="103"/>
      <c r="AN1947" s="103">
        <v>187</v>
      </c>
      <c r="AO1947" s="103"/>
      <c r="AP1947" s="103"/>
      <c r="AQ1947" s="103"/>
      <c r="AR1947" s="103"/>
      <c r="AS1947" s="103"/>
      <c r="AT1947" s="103"/>
      <c r="AU1947" s="103"/>
      <c r="AV1947" s="103"/>
      <c r="AW1947" s="104" t="str">
        <f>HYPERLINK("http://www.openstreetmap.org/?mlat=34.701&amp;mlon=43.6106&amp;zoom=12#map=12/34.701/43.6106","Maplink1")</f>
        <v>Maplink1</v>
      </c>
      <c r="AX1947" s="104" t="str">
        <f>HYPERLINK("https://www.google.iq/maps/search/+34.701,43.6106/@34.701,43.6106,14z?hl=en","Maplink2")</f>
        <v>Maplink2</v>
      </c>
      <c r="AY1947" s="104" t="str">
        <f>HYPERLINK("http://www.bing.com/maps/?lvl=14&amp;sty=h&amp;cp=34.701~43.6106&amp;sp=point.34.701_43.6106","Maplink3")</f>
        <v>Maplink3</v>
      </c>
    </row>
    <row r="1948" spans="1:51" x14ac:dyDescent="0.2">
      <c r="A1948" s="102">
        <v>25923</v>
      </c>
      <c r="B1948" s="103" t="s">
        <v>36</v>
      </c>
      <c r="C1948" s="103" t="s">
        <v>112</v>
      </c>
      <c r="D1948" s="103" t="s">
        <v>3730</v>
      </c>
      <c r="E1948" s="103" t="s">
        <v>3731</v>
      </c>
      <c r="F1948" s="103">
        <v>34.649042665099998</v>
      </c>
      <c r="G1948" s="103">
        <v>43.6629112169</v>
      </c>
      <c r="H1948" s="102">
        <v>2268</v>
      </c>
      <c r="I1948" s="102">
        <v>13608</v>
      </c>
      <c r="J1948" s="103"/>
      <c r="K1948" s="103"/>
      <c r="L1948" s="103">
        <v>320</v>
      </c>
      <c r="M1948" s="103">
        <v>1948</v>
      </c>
      <c r="N1948" s="103"/>
      <c r="O1948" s="103"/>
      <c r="P1948" s="103"/>
      <c r="Q1948" s="103"/>
      <c r="R1948" s="103"/>
      <c r="S1948" s="103"/>
      <c r="T1948" s="103"/>
      <c r="U1948" s="103"/>
      <c r="V1948" s="103"/>
      <c r="W1948" s="103">
        <v>151</v>
      </c>
      <c r="X1948" s="103"/>
      <c r="Y1948" s="103">
        <v>100</v>
      </c>
      <c r="Z1948" s="103"/>
      <c r="AA1948" s="103">
        <v>503</v>
      </c>
      <c r="AB1948" s="103"/>
      <c r="AC1948" s="103">
        <v>1006</v>
      </c>
      <c r="AD1948" s="103"/>
      <c r="AE1948" s="103"/>
      <c r="AF1948" s="103"/>
      <c r="AG1948" s="103">
        <v>1</v>
      </c>
      <c r="AH1948" s="103"/>
      <c r="AI1948" s="103">
        <v>207</v>
      </c>
      <c r="AJ1948" s="103">
        <v>300</v>
      </c>
      <c r="AK1948" s="103"/>
      <c r="AL1948" s="103"/>
      <c r="AM1948" s="103"/>
      <c r="AN1948" s="103">
        <v>1000</v>
      </c>
      <c r="AO1948" s="103">
        <v>600</v>
      </c>
      <c r="AP1948" s="103">
        <v>668</v>
      </c>
      <c r="AQ1948" s="103"/>
      <c r="AR1948" s="103"/>
      <c r="AS1948" s="103"/>
      <c r="AT1948" s="103"/>
      <c r="AU1948" s="103"/>
      <c r="AV1948" s="103"/>
      <c r="AW1948" s="104" t="str">
        <f>HYPERLINK("http://www.openstreetmap.org/?mlat=34.649&amp;mlon=43.6629&amp;zoom=12#map=12/34.649/43.6629","Maplink1")</f>
        <v>Maplink1</v>
      </c>
      <c r="AX1948" s="104" t="str">
        <f>HYPERLINK("https://www.google.iq/maps/search/+34.649,43.6629/@34.649,43.6629,14z?hl=en","Maplink2")</f>
        <v>Maplink2</v>
      </c>
      <c r="AY1948" s="104" t="str">
        <f>HYPERLINK("http://www.bing.com/maps/?lvl=14&amp;sty=h&amp;cp=34.649~43.6629&amp;sp=point.34.649_43.6629","Maplink3")</f>
        <v>Maplink3</v>
      </c>
    </row>
    <row r="1949" spans="1:51" x14ac:dyDescent="0.2">
      <c r="A1949" s="102">
        <v>28478</v>
      </c>
      <c r="B1949" s="103" t="s">
        <v>36</v>
      </c>
      <c r="C1949" s="103" t="s">
        <v>112</v>
      </c>
      <c r="D1949" s="103" t="s">
        <v>3732</v>
      </c>
      <c r="E1949" s="103" t="s">
        <v>201</v>
      </c>
      <c r="F1949" s="103">
        <v>34.596828872899998</v>
      </c>
      <c r="G1949" s="103">
        <v>43.675137832099999</v>
      </c>
      <c r="H1949" s="102">
        <v>207</v>
      </c>
      <c r="I1949" s="102">
        <v>1242</v>
      </c>
      <c r="J1949" s="103"/>
      <c r="K1949" s="103"/>
      <c r="L1949" s="103">
        <v>22</v>
      </c>
      <c r="M1949" s="103">
        <v>185</v>
      </c>
      <c r="N1949" s="103"/>
      <c r="O1949" s="103"/>
      <c r="P1949" s="103"/>
      <c r="Q1949" s="103"/>
      <c r="R1949" s="103"/>
      <c r="S1949" s="103"/>
      <c r="T1949" s="103"/>
      <c r="U1949" s="103"/>
      <c r="V1949" s="103"/>
      <c r="W1949" s="103"/>
      <c r="X1949" s="103"/>
      <c r="Y1949" s="103"/>
      <c r="Z1949" s="103"/>
      <c r="AA1949" s="103">
        <v>96</v>
      </c>
      <c r="AB1949" s="103"/>
      <c r="AC1949" s="103">
        <v>105</v>
      </c>
      <c r="AD1949" s="103"/>
      <c r="AE1949" s="103"/>
      <c r="AF1949" s="103"/>
      <c r="AG1949" s="103"/>
      <c r="AH1949" s="103"/>
      <c r="AI1949" s="103">
        <v>6</v>
      </c>
      <c r="AJ1949" s="103"/>
      <c r="AK1949" s="103"/>
      <c r="AL1949" s="103"/>
      <c r="AM1949" s="103"/>
      <c r="AN1949" s="103">
        <v>150</v>
      </c>
      <c r="AO1949" s="103">
        <v>50</v>
      </c>
      <c r="AP1949" s="103">
        <v>7</v>
      </c>
      <c r="AQ1949" s="103"/>
      <c r="AR1949" s="103"/>
      <c r="AS1949" s="103"/>
      <c r="AT1949" s="103"/>
      <c r="AU1949" s="103"/>
      <c r="AV1949" s="103"/>
      <c r="AW1949" s="104" t="str">
        <f>HYPERLINK("http://www.openstreetmap.org/?mlat=34.5968&amp;mlon=43.6751&amp;zoom=12#map=12/34.5968/43.6751","Maplink1")</f>
        <v>Maplink1</v>
      </c>
      <c r="AX1949" s="104" t="str">
        <f>HYPERLINK("https://www.google.iq/maps/search/+34.5968,43.6751/@34.5968,43.6751,14z?hl=en","Maplink2")</f>
        <v>Maplink2</v>
      </c>
      <c r="AY1949" s="104" t="str">
        <f>HYPERLINK("http://www.bing.com/maps/?lvl=14&amp;sty=h&amp;cp=34.5968~43.6751&amp;sp=point.34.5968_43.6751","Maplink3")</f>
        <v>Maplink3</v>
      </c>
    </row>
    <row r="1950" spans="1:51" x14ac:dyDescent="0.2">
      <c r="A1950" s="102">
        <v>22470</v>
      </c>
      <c r="B1950" s="103" t="s">
        <v>36</v>
      </c>
      <c r="C1950" s="103" t="s">
        <v>112</v>
      </c>
      <c r="D1950" s="103" t="s">
        <v>3722</v>
      </c>
      <c r="E1950" s="103" t="s">
        <v>3723</v>
      </c>
      <c r="F1950" s="103">
        <v>34.690555857200003</v>
      </c>
      <c r="G1950" s="103">
        <v>43.714430377699998</v>
      </c>
      <c r="H1950" s="102">
        <v>687</v>
      </c>
      <c r="I1950" s="102">
        <v>4122</v>
      </c>
      <c r="J1950" s="103">
        <v>7</v>
      </c>
      <c r="K1950" s="103"/>
      <c r="L1950" s="103">
        <v>255</v>
      </c>
      <c r="M1950" s="103">
        <v>425</v>
      </c>
      <c r="N1950" s="103"/>
      <c r="O1950" s="103"/>
      <c r="P1950" s="103"/>
      <c r="Q1950" s="103"/>
      <c r="R1950" s="103"/>
      <c r="S1950" s="103"/>
      <c r="T1950" s="103"/>
      <c r="U1950" s="103"/>
      <c r="V1950" s="103"/>
      <c r="W1950" s="103">
        <v>250</v>
      </c>
      <c r="X1950" s="103"/>
      <c r="Y1950" s="103"/>
      <c r="Z1950" s="103"/>
      <c r="AA1950" s="103"/>
      <c r="AB1950" s="103"/>
      <c r="AC1950" s="103">
        <v>200</v>
      </c>
      <c r="AD1950" s="103"/>
      <c r="AE1950" s="103"/>
      <c r="AF1950" s="103"/>
      <c r="AG1950" s="103"/>
      <c r="AH1950" s="103"/>
      <c r="AI1950" s="103">
        <v>237</v>
      </c>
      <c r="AJ1950" s="103"/>
      <c r="AK1950" s="103"/>
      <c r="AL1950" s="103"/>
      <c r="AM1950" s="103"/>
      <c r="AN1950" s="103">
        <v>460</v>
      </c>
      <c r="AO1950" s="103">
        <v>227</v>
      </c>
      <c r="AP1950" s="103"/>
      <c r="AQ1950" s="103"/>
      <c r="AR1950" s="103"/>
      <c r="AS1950" s="103"/>
      <c r="AT1950" s="103"/>
      <c r="AU1950" s="103"/>
      <c r="AV1950" s="103"/>
      <c r="AW1950" s="104" t="str">
        <f>HYPERLINK("http://www.openstreetmap.org/?mlat=34.6906&amp;mlon=43.7144&amp;zoom=12#map=12/34.6906/43.7144","Maplink1")</f>
        <v>Maplink1</v>
      </c>
      <c r="AX1950" s="104" t="str">
        <f>HYPERLINK("https://www.google.iq/maps/search/+34.6906,43.7144/@34.6906,43.7144,14z?hl=en","Maplink2")</f>
        <v>Maplink2</v>
      </c>
      <c r="AY1950" s="104" t="str">
        <f>HYPERLINK("http://www.bing.com/maps/?lvl=14&amp;sty=h&amp;cp=34.6906~43.7144&amp;sp=point.34.6906_43.7144","Maplink3")</f>
        <v>Maplink3</v>
      </c>
    </row>
    <row r="1951" spans="1:51" x14ac:dyDescent="0.2">
      <c r="A1951" s="102">
        <v>23301</v>
      </c>
      <c r="B1951" s="103" t="s">
        <v>36</v>
      </c>
      <c r="C1951" s="103" t="s">
        <v>112</v>
      </c>
      <c r="D1951" s="103" t="s">
        <v>3724</v>
      </c>
      <c r="E1951" s="103" t="s">
        <v>3725</v>
      </c>
      <c r="F1951" s="103">
        <v>34.575039004600001</v>
      </c>
      <c r="G1951" s="103">
        <v>43.682018877200001</v>
      </c>
      <c r="H1951" s="102">
        <v>484</v>
      </c>
      <c r="I1951" s="102">
        <v>2904</v>
      </c>
      <c r="J1951" s="103"/>
      <c r="K1951" s="103"/>
      <c r="L1951" s="103">
        <v>33</v>
      </c>
      <c r="M1951" s="103">
        <v>451</v>
      </c>
      <c r="N1951" s="103"/>
      <c r="O1951" s="103"/>
      <c r="P1951" s="103"/>
      <c r="Q1951" s="103"/>
      <c r="R1951" s="103"/>
      <c r="S1951" s="103"/>
      <c r="T1951" s="103"/>
      <c r="U1951" s="103"/>
      <c r="V1951" s="103"/>
      <c r="W1951" s="103">
        <v>37</v>
      </c>
      <c r="X1951" s="103"/>
      <c r="Y1951" s="103">
        <v>25</v>
      </c>
      <c r="Z1951" s="103"/>
      <c r="AA1951" s="103">
        <v>140</v>
      </c>
      <c r="AB1951" s="103"/>
      <c r="AC1951" s="103">
        <v>180</v>
      </c>
      <c r="AD1951" s="103"/>
      <c r="AE1951" s="103"/>
      <c r="AF1951" s="103"/>
      <c r="AG1951" s="103"/>
      <c r="AH1951" s="103"/>
      <c r="AI1951" s="103">
        <v>70</v>
      </c>
      <c r="AJ1951" s="103">
        <v>32</v>
      </c>
      <c r="AK1951" s="103"/>
      <c r="AL1951" s="103"/>
      <c r="AM1951" s="103"/>
      <c r="AN1951" s="103">
        <v>250</v>
      </c>
      <c r="AO1951" s="103">
        <v>200</v>
      </c>
      <c r="AP1951" s="103">
        <v>34</v>
      </c>
      <c r="AQ1951" s="103"/>
      <c r="AR1951" s="103"/>
      <c r="AS1951" s="103"/>
      <c r="AT1951" s="103"/>
      <c r="AU1951" s="103"/>
      <c r="AV1951" s="103"/>
      <c r="AW1951" s="104" t="str">
        <f>HYPERLINK("http://www.openstreetmap.org/?mlat=34.575&amp;mlon=43.682&amp;zoom=12#map=12/34.575/43.682","Maplink1")</f>
        <v>Maplink1</v>
      </c>
      <c r="AX1951" s="104" t="str">
        <f>HYPERLINK("https://www.google.iq/maps/search/+34.575,43.682/@34.575,43.682,14z?hl=en","Maplink2")</f>
        <v>Maplink2</v>
      </c>
      <c r="AY1951" s="104" t="str">
        <f>HYPERLINK("http://www.bing.com/maps/?lvl=14&amp;sty=h&amp;cp=34.575~43.682&amp;sp=point.34.575_43.682","Maplink3")</f>
        <v>Maplink3</v>
      </c>
    </row>
    <row r="1952" spans="1:51" x14ac:dyDescent="0.2">
      <c r="A1952" s="102">
        <v>25960</v>
      </c>
      <c r="B1952" s="103" t="s">
        <v>36</v>
      </c>
      <c r="C1952" s="103" t="s">
        <v>112</v>
      </c>
      <c r="D1952" s="103" t="s">
        <v>3726</v>
      </c>
      <c r="E1952" s="103" t="s">
        <v>3727</v>
      </c>
      <c r="F1952" s="103">
        <v>34.592996918899999</v>
      </c>
      <c r="G1952" s="103">
        <v>43.674105273199999</v>
      </c>
      <c r="H1952" s="102">
        <v>1155</v>
      </c>
      <c r="I1952" s="102">
        <v>6930</v>
      </c>
      <c r="J1952" s="103"/>
      <c r="K1952" s="103"/>
      <c r="L1952" s="103">
        <v>600</v>
      </c>
      <c r="M1952" s="103">
        <v>555</v>
      </c>
      <c r="N1952" s="103"/>
      <c r="O1952" s="103"/>
      <c r="P1952" s="103"/>
      <c r="Q1952" s="103"/>
      <c r="R1952" s="103"/>
      <c r="S1952" s="103"/>
      <c r="T1952" s="103"/>
      <c r="U1952" s="103"/>
      <c r="V1952" s="103"/>
      <c r="W1952" s="103">
        <v>36</v>
      </c>
      <c r="X1952" s="103"/>
      <c r="Y1952" s="103">
        <v>7</v>
      </c>
      <c r="Z1952" s="103"/>
      <c r="AA1952" s="103">
        <v>289</v>
      </c>
      <c r="AB1952" s="103"/>
      <c r="AC1952" s="103">
        <v>355</v>
      </c>
      <c r="AD1952" s="103"/>
      <c r="AE1952" s="103"/>
      <c r="AF1952" s="103"/>
      <c r="AG1952" s="103">
        <v>2</v>
      </c>
      <c r="AH1952" s="103"/>
      <c r="AI1952" s="103">
        <v>443</v>
      </c>
      <c r="AJ1952" s="103">
        <v>23</v>
      </c>
      <c r="AK1952" s="103"/>
      <c r="AL1952" s="103"/>
      <c r="AM1952" s="103"/>
      <c r="AN1952" s="103">
        <v>509</v>
      </c>
      <c r="AO1952" s="103">
        <v>450</v>
      </c>
      <c r="AP1952" s="103">
        <v>196</v>
      </c>
      <c r="AQ1952" s="103"/>
      <c r="AR1952" s="103"/>
      <c r="AS1952" s="103"/>
      <c r="AT1952" s="103"/>
      <c r="AU1952" s="103"/>
      <c r="AV1952" s="103"/>
      <c r="AW1952" s="104" t="str">
        <f>HYPERLINK("http://www.openstreetmap.org/?mlat=34.593&amp;mlon=43.6741&amp;zoom=12#map=12/34.593/43.6741","Maplink1")</f>
        <v>Maplink1</v>
      </c>
      <c r="AX1952" s="104" t="str">
        <f>HYPERLINK("https://www.google.iq/maps/search/+34.593,43.6741/@34.593,43.6741,14z?hl=en","Maplink2")</f>
        <v>Maplink2</v>
      </c>
      <c r="AY1952" s="104" t="str">
        <f>HYPERLINK("http://www.bing.com/maps/?lvl=14&amp;sty=h&amp;cp=34.593~43.6741&amp;sp=point.34.593_43.6741","Maplink3")</f>
        <v>Maplink3</v>
      </c>
    </row>
    <row r="1953" spans="1:51" x14ac:dyDescent="0.2">
      <c r="A1953" s="102">
        <v>29589</v>
      </c>
      <c r="B1953" s="103" t="s">
        <v>36</v>
      </c>
      <c r="C1953" s="103" t="s">
        <v>112</v>
      </c>
      <c r="D1953" s="103" t="s">
        <v>3783</v>
      </c>
      <c r="E1953" s="103" t="s">
        <v>3784</v>
      </c>
      <c r="F1953" s="103">
        <v>34.646761505900002</v>
      </c>
      <c r="G1953" s="103">
        <v>43.702411567799999</v>
      </c>
      <c r="H1953" s="102">
        <v>335</v>
      </c>
      <c r="I1953" s="102">
        <v>2010</v>
      </c>
      <c r="J1953" s="103"/>
      <c r="K1953" s="103"/>
      <c r="L1953" s="103"/>
      <c r="M1953" s="103">
        <v>335</v>
      </c>
      <c r="N1953" s="103"/>
      <c r="O1953" s="103"/>
      <c r="P1953" s="103"/>
      <c r="Q1953" s="103"/>
      <c r="R1953" s="103"/>
      <c r="S1953" s="103"/>
      <c r="T1953" s="103"/>
      <c r="U1953" s="103"/>
      <c r="V1953" s="103"/>
      <c r="W1953" s="103">
        <v>24</v>
      </c>
      <c r="X1953" s="103"/>
      <c r="Y1953" s="103"/>
      <c r="Z1953" s="103"/>
      <c r="AA1953" s="103">
        <v>50</v>
      </c>
      <c r="AB1953" s="103"/>
      <c r="AC1953" s="103">
        <v>35</v>
      </c>
      <c r="AD1953" s="103"/>
      <c r="AE1953" s="103"/>
      <c r="AF1953" s="103"/>
      <c r="AG1953" s="103"/>
      <c r="AH1953" s="103"/>
      <c r="AI1953" s="103">
        <v>220</v>
      </c>
      <c r="AJ1953" s="103">
        <v>6</v>
      </c>
      <c r="AK1953" s="103"/>
      <c r="AL1953" s="103"/>
      <c r="AM1953" s="103"/>
      <c r="AN1953" s="103">
        <v>150</v>
      </c>
      <c r="AO1953" s="103">
        <v>130</v>
      </c>
      <c r="AP1953" s="103">
        <v>55</v>
      </c>
      <c r="AQ1953" s="103"/>
      <c r="AR1953" s="103"/>
      <c r="AS1953" s="103"/>
      <c r="AT1953" s="103"/>
      <c r="AU1953" s="103"/>
      <c r="AV1953" s="103"/>
      <c r="AW1953" s="104" t="str">
        <f>HYPERLINK("http://www.openstreetmap.org/?mlat=34.6468&amp;mlon=43.7024&amp;zoom=12#map=12/34.6468/43.7024","Maplink1")</f>
        <v>Maplink1</v>
      </c>
      <c r="AX1953" s="104" t="str">
        <f>HYPERLINK("https://www.google.iq/maps/search/+34.6468,43.7024/@34.6468,43.7024,14z?hl=en","Maplink2")</f>
        <v>Maplink2</v>
      </c>
      <c r="AY1953" s="104" t="str">
        <f>HYPERLINK("http://www.bing.com/maps/?lvl=14&amp;sty=h&amp;cp=34.6468~43.7024&amp;sp=point.34.6468_43.7024","Maplink3")</f>
        <v>Maplink3</v>
      </c>
    </row>
    <row r="1954" spans="1:51" x14ac:dyDescent="0.2">
      <c r="A1954" s="102">
        <v>24248</v>
      </c>
      <c r="B1954" s="103" t="s">
        <v>36</v>
      </c>
      <c r="C1954" s="103" t="s">
        <v>112</v>
      </c>
      <c r="D1954" s="103" t="s">
        <v>3736</v>
      </c>
      <c r="E1954" s="103" t="s">
        <v>3737</v>
      </c>
      <c r="F1954" s="103">
        <v>34.6747398535</v>
      </c>
      <c r="G1954" s="103">
        <v>43.715298972299998</v>
      </c>
      <c r="H1954" s="102">
        <v>860</v>
      </c>
      <c r="I1954" s="102">
        <v>5160</v>
      </c>
      <c r="J1954" s="103"/>
      <c r="K1954" s="103"/>
      <c r="L1954" s="103"/>
      <c r="M1954" s="103">
        <v>815</v>
      </c>
      <c r="N1954" s="103">
        <v>45</v>
      </c>
      <c r="O1954" s="103"/>
      <c r="P1954" s="103"/>
      <c r="Q1954" s="103"/>
      <c r="R1954" s="103"/>
      <c r="S1954" s="103"/>
      <c r="T1954" s="103"/>
      <c r="U1954" s="103"/>
      <c r="V1954" s="103"/>
      <c r="W1954" s="103"/>
      <c r="X1954" s="103"/>
      <c r="Y1954" s="103"/>
      <c r="Z1954" s="103"/>
      <c r="AA1954" s="103">
        <v>85</v>
      </c>
      <c r="AB1954" s="103"/>
      <c r="AC1954" s="103">
        <v>480</v>
      </c>
      <c r="AD1954" s="103"/>
      <c r="AE1954" s="103"/>
      <c r="AF1954" s="103"/>
      <c r="AG1954" s="103"/>
      <c r="AH1954" s="103"/>
      <c r="AI1954" s="103">
        <v>255</v>
      </c>
      <c r="AJ1954" s="103">
        <v>40</v>
      </c>
      <c r="AK1954" s="103"/>
      <c r="AL1954" s="103"/>
      <c r="AM1954" s="103"/>
      <c r="AN1954" s="103">
        <v>250</v>
      </c>
      <c r="AO1954" s="103">
        <v>190</v>
      </c>
      <c r="AP1954" s="103">
        <v>420</v>
      </c>
      <c r="AQ1954" s="103"/>
      <c r="AR1954" s="103"/>
      <c r="AS1954" s="103"/>
      <c r="AT1954" s="103"/>
      <c r="AU1954" s="103"/>
      <c r="AV1954" s="103"/>
      <c r="AW1954" s="104" t="str">
        <f>HYPERLINK("http://www.openstreetmap.org/?mlat=34.6747&amp;mlon=43.7153&amp;zoom=12#map=12/34.6747/43.7153","Maplink1")</f>
        <v>Maplink1</v>
      </c>
      <c r="AX1954" s="104" t="str">
        <f>HYPERLINK("https://www.google.iq/maps/search/+34.6747,43.7153/@34.6747,43.7153,14z?hl=en","Maplink2")</f>
        <v>Maplink2</v>
      </c>
      <c r="AY1954" s="104" t="str">
        <f>HYPERLINK("http://www.bing.com/maps/?lvl=14&amp;sty=h&amp;cp=34.6747~43.7153&amp;sp=point.34.6747_43.7153","Maplink3")</f>
        <v>Maplink3</v>
      </c>
    </row>
    <row r="1955" spans="1:51" x14ac:dyDescent="0.2">
      <c r="A1955" s="102">
        <v>24247</v>
      </c>
      <c r="B1955" s="103" t="s">
        <v>36</v>
      </c>
      <c r="C1955" s="103" t="s">
        <v>112</v>
      </c>
      <c r="D1955" s="103" t="s">
        <v>3755</v>
      </c>
      <c r="E1955" s="103" t="s">
        <v>3756</v>
      </c>
      <c r="F1955" s="103">
        <v>34.687550088999998</v>
      </c>
      <c r="G1955" s="103">
        <v>43.717695239599998</v>
      </c>
      <c r="H1955" s="102">
        <v>45</v>
      </c>
      <c r="I1955" s="102">
        <v>270</v>
      </c>
      <c r="J1955" s="103"/>
      <c r="K1955" s="103"/>
      <c r="L1955" s="103"/>
      <c r="M1955" s="103">
        <v>43</v>
      </c>
      <c r="N1955" s="103">
        <v>2</v>
      </c>
      <c r="O1955" s="103"/>
      <c r="P1955" s="103"/>
      <c r="Q1955" s="103"/>
      <c r="R1955" s="103"/>
      <c r="S1955" s="103"/>
      <c r="T1955" s="103"/>
      <c r="U1955" s="103"/>
      <c r="V1955" s="103"/>
      <c r="W1955" s="103"/>
      <c r="X1955" s="103"/>
      <c r="Y1955" s="103"/>
      <c r="Z1955" s="103"/>
      <c r="AA1955" s="103"/>
      <c r="AB1955" s="103"/>
      <c r="AC1955" s="103">
        <v>45</v>
      </c>
      <c r="AD1955" s="103"/>
      <c r="AE1955" s="103"/>
      <c r="AF1955" s="103"/>
      <c r="AG1955" s="103"/>
      <c r="AH1955" s="103"/>
      <c r="AI1955" s="103"/>
      <c r="AJ1955" s="103"/>
      <c r="AK1955" s="103"/>
      <c r="AL1955" s="103"/>
      <c r="AM1955" s="103"/>
      <c r="AN1955" s="103"/>
      <c r="AO1955" s="103">
        <v>45</v>
      </c>
      <c r="AP1955" s="103"/>
      <c r="AQ1955" s="103"/>
      <c r="AR1955" s="103"/>
      <c r="AS1955" s="103"/>
      <c r="AT1955" s="103"/>
      <c r="AU1955" s="103"/>
      <c r="AV1955" s="103"/>
      <c r="AW1955" s="104" t="str">
        <f>HYPERLINK("http://www.openstreetmap.org/?mlat=34.6876&amp;mlon=43.7177&amp;zoom=12#map=12/34.6876/43.7177","Maplink1")</f>
        <v>Maplink1</v>
      </c>
      <c r="AX1955" s="104" t="str">
        <f>HYPERLINK("https://www.google.iq/maps/search/+34.6876,43.7177/@34.6876,43.7177,14z?hl=en","Maplink2")</f>
        <v>Maplink2</v>
      </c>
      <c r="AY1955" s="104" t="str">
        <f>HYPERLINK("http://www.bing.com/maps/?lvl=14&amp;sty=h&amp;cp=34.6876~43.7177&amp;sp=point.34.6876_43.7177","Maplink3")</f>
        <v>Maplink3</v>
      </c>
    </row>
    <row r="1956" spans="1:51" x14ac:dyDescent="0.2">
      <c r="A1956" s="102">
        <v>28449</v>
      </c>
      <c r="B1956" s="103" t="s">
        <v>36</v>
      </c>
      <c r="C1956" s="103" t="s">
        <v>112</v>
      </c>
      <c r="D1956" s="103" t="s">
        <v>3757</v>
      </c>
      <c r="E1956" s="103" t="s">
        <v>3758</v>
      </c>
      <c r="F1956" s="103">
        <v>34.701810639599998</v>
      </c>
      <c r="G1956" s="103">
        <v>43.715754889700001</v>
      </c>
      <c r="H1956" s="102">
        <v>575</v>
      </c>
      <c r="I1956" s="102">
        <v>3450</v>
      </c>
      <c r="J1956" s="103">
        <v>25</v>
      </c>
      <c r="K1956" s="103"/>
      <c r="L1956" s="103">
        <v>50</v>
      </c>
      <c r="M1956" s="103">
        <v>440</v>
      </c>
      <c r="N1956" s="103">
        <v>60</v>
      </c>
      <c r="O1956" s="103"/>
      <c r="P1956" s="103"/>
      <c r="Q1956" s="103"/>
      <c r="R1956" s="103"/>
      <c r="S1956" s="103"/>
      <c r="T1956" s="103"/>
      <c r="U1956" s="103"/>
      <c r="V1956" s="103"/>
      <c r="W1956" s="103"/>
      <c r="X1956" s="103"/>
      <c r="Y1956" s="103"/>
      <c r="Z1956" s="103"/>
      <c r="AA1956" s="103"/>
      <c r="AB1956" s="103"/>
      <c r="AC1956" s="103">
        <v>575</v>
      </c>
      <c r="AD1956" s="103"/>
      <c r="AE1956" s="103"/>
      <c r="AF1956" s="103"/>
      <c r="AG1956" s="103"/>
      <c r="AH1956" s="103"/>
      <c r="AI1956" s="103"/>
      <c r="AJ1956" s="103"/>
      <c r="AK1956" s="103"/>
      <c r="AL1956" s="103"/>
      <c r="AM1956" s="103"/>
      <c r="AN1956" s="103">
        <v>275</v>
      </c>
      <c r="AO1956" s="103">
        <v>300</v>
      </c>
      <c r="AP1956" s="103"/>
      <c r="AQ1956" s="103"/>
      <c r="AR1956" s="103"/>
      <c r="AS1956" s="103"/>
      <c r="AT1956" s="103"/>
      <c r="AU1956" s="103"/>
      <c r="AV1956" s="103"/>
      <c r="AW1956" s="104" t="str">
        <f>HYPERLINK("http://www.openstreetmap.org/?mlat=34.7018&amp;mlon=43.7158&amp;zoom=12#map=12/34.7018/43.7158","Maplink1")</f>
        <v>Maplink1</v>
      </c>
      <c r="AX1956" s="104" t="str">
        <f>HYPERLINK("https://www.google.iq/maps/search/+34.7018,43.7158/@34.7018,43.7158,14z?hl=en","Maplink2")</f>
        <v>Maplink2</v>
      </c>
      <c r="AY1956" s="104" t="str">
        <f>HYPERLINK("http://www.bing.com/maps/?lvl=14&amp;sty=h&amp;cp=34.7018~43.7158&amp;sp=point.34.7018_43.7158","Maplink3")</f>
        <v>Maplink3</v>
      </c>
    </row>
    <row r="1957" spans="1:51" x14ac:dyDescent="0.2">
      <c r="A1957" s="102">
        <v>20630</v>
      </c>
      <c r="B1957" s="103" t="s">
        <v>36</v>
      </c>
      <c r="C1957" s="103" t="s">
        <v>112</v>
      </c>
      <c r="D1957" s="103" t="s">
        <v>3751</v>
      </c>
      <c r="E1957" s="103" t="s">
        <v>3752</v>
      </c>
      <c r="F1957" s="103">
        <v>34.695627035500003</v>
      </c>
      <c r="G1957" s="103">
        <v>43.624826466099996</v>
      </c>
      <c r="H1957" s="102">
        <v>218</v>
      </c>
      <c r="I1957" s="102">
        <v>1308</v>
      </c>
      <c r="J1957" s="103"/>
      <c r="K1957" s="103"/>
      <c r="L1957" s="103"/>
      <c r="M1957" s="103">
        <v>218</v>
      </c>
      <c r="N1957" s="103"/>
      <c r="O1957" s="103"/>
      <c r="P1957" s="103"/>
      <c r="Q1957" s="103"/>
      <c r="R1957" s="103"/>
      <c r="S1957" s="103"/>
      <c r="T1957" s="103"/>
      <c r="U1957" s="103"/>
      <c r="V1957" s="103"/>
      <c r="W1957" s="103"/>
      <c r="X1957" s="103"/>
      <c r="Y1957" s="103"/>
      <c r="Z1957" s="103"/>
      <c r="AA1957" s="103">
        <v>11</v>
      </c>
      <c r="AB1957" s="103"/>
      <c r="AC1957" s="103">
        <v>198</v>
      </c>
      <c r="AD1957" s="103"/>
      <c r="AE1957" s="103"/>
      <c r="AF1957" s="103"/>
      <c r="AG1957" s="103"/>
      <c r="AH1957" s="103"/>
      <c r="AI1957" s="103">
        <v>9</v>
      </c>
      <c r="AJ1957" s="103"/>
      <c r="AK1957" s="103"/>
      <c r="AL1957" s="103"/>
      <c r="AM1957" s="103"/>
      <c r="AN1957" s="103">
        <v>218</v>
      </c>
      <c r="AO1957" s="103"/>
      <c r="AP1957" s="103"/>
      <c r="AQ1957" s="103"/>
      <c r="AR1957" s="103"/>
      <c r="AS1957" s="103"/>
      <c r="AT1957" s="103"/>
      <c r="AU1957" s="103"/>
      <c r="AV1957" s="103"/>
      <c r="AW1957" s="104" t="str">
        <f>HYPERLINK("http://www.openstreetmap.org/?mlat=34.6956&amp;mlon=43.6248&amp;zoom=12#map=12/34.6956/43.6248","Maplink1")</f>
        <v>Maplink1</v>
      </c>
      <c r="AX1957" s="104" t="str">
        <f>HYPERLINK("https://www.google.iq/maps/search/+34.6956,43.6248/@34.6956,43.6248,14z?hl=en","Maplink2")</f>
        <v>Maplink2</v>
      </c>
      <c r="AY1957" s="104" t="str">
        <f>HYPERLINK("http://www.bing.com/maps/?lvl=14&amp;sty=h&amp;cp=34.6956~43.6248&amp;sp=point.34.6956_43.6248","Maplink3")</f>
        <v>Maplink3</v>
      </c>
    </row>
    <row r="1958" spans="1:51" x14ac:dyDescent="0.2">
      <c r="A1958" s="102">
        <v>22058</v>
      </c>
      <c r="B1958" s="103" t="s">
        <v>36</v>
      </c>
      <c r="C1958" s="103" t="s">
        <v>112</v>
      </c>
      <c r="D1958" s="103" t="s">
        <v>3753</v>
      </c>
      <c r="E1958" s="103" t="s">
        <v>3754</v>
      </c>
      <c r="F1958" s="103">
        <v>34.596180617800002</v>
      </c>
      <c r="G1958" s="103">
        <v>43.655220363300003</v>
      </c>
      <c r="H1958" s="102">
        <v>630</v>
      </c>
      <c r="I1958" s="102">
        <v>3780</v>
      </c>
      <c r="J1958" s="103"/>
      <c r="K1958" s="103"/>
      <c r="L1958" s="103"/>
      <c r="M1958" s="103">
        <v>600</v>
      </c>
      <c r="N1958" s="103">
        <v>30</v>
      </c>
      <c r="O1958" s="103"/>
      <c r="P1958" s="103"/>
      <c r="Q1958" s="103"/>
      <c r="R1958" s="103"/>
      <c r="S1958" s="103"/>
      <c r="T1958" s="103"/>
      <c r="U1958" s="103"/>
      <c r="V1958" s="103"/>
      <c r="W1958" s="103">
        <v>25</v>
      </c>
      <c r="X1958" s="103"/>
      <c r="Y1958" s="103"/>
      <c r="Z1958" s="103"/>
      <c r="AA1958" s="103">
        <v>122</v>
      </c>
      <c r="AB1958" s="103"/>
      <c r="AC1958" s="103">
        <v>365</v>
      </c>
      <c r="AD1958" s="103"/>
      <c r="AE1958" s="103"/>
      <c r="AF1958" s="103"/>
      <c r="AG1958" s="103">
        <v>7</v>
      </c>
      <c r="AH1958" s="103"/>
      <c r="AI1958" s="103">
        <v>80</v>
      </c>
      <c r="AJ1958" s="103">
        <v>31</v>
      </c>
      <c r="AK1958" s="103"/>
      <c r="AL1958" s="103"/>
      <c r="AM1958" s="103"/>
      <c r="AN1958" s="103">
        <v>583</v>
      </c>
      <c r="AO1958" s="103">
        <v>30</v>
      </c>
      <c r="AP1958" s="103">
        <v>17</v>
      </c>
      <c r="AQ1958" s="103"/>
      <c r="AR1958" s="103"/>
      <c r="AS1958" s="103"/>
      <c r="AT1958" s="103"/>
      <c r="AU1958" s="103"/>
      <c r="AV1958" s="103"/>
      <c r="AW1958" s="104" t="str">
        <f>HYPERLINK("http://www.openstreetmap.org/?mlat=34.5962&amp;mlon=43.6552&amp;zoom=12#map=12/34.5962/43.6552","Maplink1")</f>
        <v>Maplink1</v>
      </c>
      <c r="AX1958" s="104" t="str">
        <f>HYPERLINK("https://www.google.iq/maps/search/+34.5962,43.6552/@34.5962,43.6552,14z?hl=en","Maplink2")</f>
        <v>Maplink2</v>
      </c>
      <c r="AY1958" s="104" t="str">
        <f>HYPERLINK("http://www.bing.com/maps/?lvl=14&amp;sty=h&amp;cp=34.5962~43.6552&amp;sp=point.34.5962_43.6552","Maplink3")</f>
        <v>Maplink3</v>
      </c>
    </row>
    <row r="1959" spans="1:51" x14ac:dyDescent="0.2">
      <c r="A1959" s="102">
        <v>25984</v>
      </c>
      <c r="B1959" s="103" t="s">
        <v>36</v>
      </c>
      <c r="C1959" s="103" t="s">
        <v>112</v>
      </c>
      <c r="D1959" s="103" t="s">
        <v>3720</v>
      </c>
      <c r="E1959" s="103" t="s">
        <v>3721</v>
      </c>
      <c r="F1959" s="103">
        <v>34.784002935700002</v>
      </c>
      <c r="G1959" s="103">
        <v>43.626301428300003</v>
      </c>
      <c r="H1959" s="102">
        <v>200</v>
      </c>
      <c r="I1959" s="102">
        <v>1200</v>
      </c>
      <c r="J1959" s="103"/>
      <c r="K1959" s="103"/>
      <c r="L1959" s="103"/>
      <c r="M1959" s="103">
        <v>188</v>
      </c>
      <c r="N1959" s="103">
        <v>12</v>
      </c>
      <c r="O1959" s="103"/>
      <c r="P1959" s="103"/>
      <c r="Q1959" s="103"/>
      <c r="R1959" s="103"/>
      <c r="S1959" s="103"/>
      <c r="T1959" s="103"/>
      <c r="U1959" s="103"/>
      <c r="V1959" s="103"/>
      <c r="W1959" s="103"/>
      <c r="X1959" s="103"/>
      <c r="Y1959" s="103"/>
      <c r="Z1959" s="103"/>
      <c r="AA1959" s="103"/>
      <c r="AB1959" s="103"/>
      <c r="AC1959" s="103"/>
      <c r="AD1959" s="103"/>
      <c r="AE1959" s="103"/>
      <c r="AF1959" s="103"/>
      <c r="AG1959" s="103"/>
      <c r="AH1959" s="103"/>
      <c r="AI1959" s="103">
        <v>200</v>
      </c>
      <c r="AJ1959" s="103"/>
      <c r="AK1959" s="103"/>
      <c r="AL1959" s="103"/>
      <c r="AM1959" s="103"/>
      <c r="AN1959" s="103"/>
      <c r="AO1959" s="103"/>
      <c r="AP1959" s="103">
        <v>200</v>
      </c>
      <c r="AQ1959" s="103"/>
      <c r="AR1959" s="103"/>
      <c r="AS1959" s="103"/>
      <c r="AT1959" s="103"/>
      <c r="AU1959" s="103"/>
      <c r="AV1959" s="103"/>
      <c r="AW1959" s="104" t="str">
        <f>HYPERLINK("http://www.openstreetmap.org/?mlat=34.784&amp;mlon=43.6263&amp;zoom=12#map=12/34.784/43.6263","Maplink1")</f>
        <v>Maplink1</v>
      </c>
      <c r="AX1959" s="104" t="str">
        <f>HYPERLINK("https://www.google.iq/maps/search/+34.784,43.6263/@34.784,43.6263,14z?hl=en","Maplink2")</f>
        <v>Maplink2</v>
      </c>
      <c r="AY1959" s="104" t="str">
        <f>HYPERLINK("http://www.bing.com/maps/?lvl=14&amp;sty=h&amp;cp=34.784~43.6263&amp;sp=point.34.784_43.6263","Maplink3")</f>
        <v>Maplink3</v>
      </c>
    </row>
    <row r="1960" spans="1:51" x14ac:dyDescent="0.2">
      <c r="A1960" s="102">
        <v>20638</v>
      </c>
      <c r="B1960" s="103" t="s">
        <v>36</v>
      </c>
      <c r="C1960" s="103" t="s">
        <v>112</v>
      </c>
      <c r="D1960" s="103" t="s">
        <v>376</v>
      </c>
      <c r="E1960" s="103" t="s">
        <v>377</v>
      </c>
      <c r="F1960" s="103">
        <v>34.6346683931</v>
      </c>
      <c r="G1960" s="103">
        <v>43.6702753012</v>
      </c>
      <c r="H1960" s="102">
        <v>800</v>
      </c>
      <c r="I1960" s="102">
        <v>4800</v>
      </c>
      <c r="J1960" s="103"/>
      <c r="K1960" s="103"/>
      <c r="L1960" s="103">
        <v>120</v>
      </c>
      <c r="M1960" s="103">
        <v>680</v>
      </c>
      <c r="N1960" s="103"/>
      <c r="O1960" s="103"/>
      <c r="P1960" s="103"/>
      <c r="Q1960" s="103"/>
      <c r="R1960" s="103"/>
      <c r="S1960" s="103"/>
      <c r="T1960" s="103"/>
      <c r="U1960" s="103"/>
      <c r="V1960" s="103"/>
      <c r="W1960" s="103">
        <v>43</v>
      </c>
      <c r="X1960" s="103"/>
      <c r="Y1960" s="103">
        <v>27</v>
      </c>
      <c r="Z1960" s="103"/>
      <c r="AA1960" s="103">
        <v>235</v>
      </c>
      <c r="AB1960" s="103"/>
      <c r="AC1960" s="103">
        <v>390</v>
      </c>
      <c r="AD1960" s="103"/>
      <c r="AE1960" s="103"/>
      <c r="AF1960" s="103"/>
      <c r="AG1960" s="103"/>
      <c r="AH1960" s="103"/>
      <c r="AI1960" s="103">
        <v>55</v>
      </c>
      <c r="AJ1960" s="103">
        <v>50</v>
      </c>
      <c r="AK1960" s="103"/>
      <c r="AL1960" s="103"/>
      <c r="AM1960" s="103"/>
      <c r="AN1960" s="103">
        <v>365</v>
      </c>
      <c r="AO1960" s="103">
        <v>335</v>
      </c>
      <c r="AP1960" s="103">
        <v>100</v>
      </c>
      <c r="AQ1960" s="103"/>
      <c r="AR1960" s="103"/>
      <c r="AS1960" s="103"/>
      <c r="AT1960" s="103"/>
      <c r="AU1960" s="103"/>
      <c r="AV1960" s="103"/>
      <c r="AW1960" s="104" t="str">
        <f>HYPERLINK("http://www.openstreetmap.org/?mlat=34.6347&amp;mlon=43.6703&amp;zoom=12#map=12/34.6347/43.6703","Maplink1")</f>
        <v>Maplink1</v>
      </c>
      <c r="AX1960" s="104" t="str">
        <f>HYPERLINK("https://www.google.iq/maps/search/+34.6347,43.6703/@34.6347,43.6703,14z?hl=en","Maplink2")</f>
        <v>Maplink2</v>
      </c>
      <c r="AY1960" s="104" t="str">
        <f>HYPERLINK("http://www.bing.com/maps/?lvl=14&amp;sty=h&amp;cp=34.6347~43.6703&amp;sp=point.34.6347_43.6703","Maplink3")</f>
        <v>Maplink3</v>
      </c>
    </row>
    <row r="1961" spans="1:51" x14ac:dyDescent="0.2">
      <c r="A1961" s="102">
        <v>24211</v>
      </c>
      <c r="B1961" s="103" t="s">
        <v>36</v>
      </c>
      <c r="C1961" s="103" t="s">
        <v>112</v>
      </c>
      <c r="D1961" s="103" t="s">
        <v>3775</v>
      </c>
      <c r="E1961" s="103" t="s">
        <v>3776</v>
      </c>
      <c r="F1961" s="103">
        <v>34.662637820100002</v>
      </c>
      <c r="G1961" s="103">
        <v>43.920811408799999</v>
      </c>
      <c r="H1961" s="102">
        <v>165</v>
      </c>
      <c r="I1961" s="102">
        <v>990</v>
      </c>
      <c r="J1961" s="103"/>
      <c r="K1961" s="103"/>
      <c r="L1961" s="103"/>
      <c r="M1961" s="103">
        <v>65</v>
      </c>
      <c r="N1961" s="103">
        <v>100</v>
      </c>
      <c r="O1961" s="103"/>
      <c r="P1961" s="103"/>
      <c r="Q1961" s="103"/>
      <c r="R1961" s="103"/>
      <c r="S1961" s="103"/>
      <c r="T1961" s="103"/>
      <c r="U1961" s="103"/>
      <c r="V1961" s="103"/>
      <c r="W1961" s="103"/>
      <c r="X1961" s="103"/>
      <c r="Y1961" s="103"/>
      <c r="Z1961" s="103"/>
      <c r="AA1961" s="103"/>
      <c r="AB1961" s="103"/>
      <c r="AC1961" s="103">
        <v>100</v>
      </c>
      <c r="AD1961" s="103"/>
      <c r="AE1961" s="103"/>
      <c r="AF1961" s="103"/>
      <c r="AG1961" s="103"/>
      <c r="AH1961" s="103"/>
      <c r="AI1961" s="103">
        <v>65</v>
      </c>
      <c r="AJ1961" s="103"/>
      <c r="AK1961" s="103"/>
      <c r="AL1961" s="103"/>
      <c r="AM1961" s="103"/>
      <c r="AN1961" s="103">
        <v>20</v>
      </c>
      <c r="AO1961" s="103">
        <v>75</v>
      </c>
      <c r="AP1961" s="103">
        <v>70</v>
      </c>
      <c r="AQ1961" s="103"/>
      <c r="AR1961" s="103"/>
      <c r="AS1961" s="103"/>
      <c r="AT1961" s="103"/>
      <c r="AU1961" s="103"/>
      <c r="AV1961" s="103"/>
      <c r="AW1961" s="104" t="str">
        <f>HYPERLINK("http://www.openstreetmap.org/?mlat=34.6626&amp;mlon=43.9208&amp;zoom=12#map=12/34.6626/43.9208","Maplink1")</f>
        <v>Maplink1</v>
      </c>
      <c r="AX1961" s="104" t="str">
        <f>HYPERLINK("https://www.google.iq/maps/search/+34.6626,43.9208/@34.6626,43.9208,14z?hl=en","Maplink2")</f>
        <v>Maplink2</v>
      </c>
      <c r="AY1961" s="104" t="str">
        <f>HYPERLINK("http://www.bing.com/maps/?lvl=14&amp;sty=h&amp;cp=34.6626~43.9208&amp;sp=point.34.6626_43.9208","Maplink3")</f>
        <v>Maplink3</v>
      </c>
    </row>
    <row r="1962" spans="1:51" x14ac:dyDescent="0.2">
      <c r="A1962" s="102">
        <v>20666</v>
      </c>
      <c r="B1962" s="103" t="s">
        <v>36</v>
      </c>
      <c r="C1962" s="103" t="s">
        <v>112</v>
      </c>
      <c r="D1962" s="103" t="s">
        <v>3777</v>
      </c>
      <c r="E1962" s="103" t="s">
        <v>3778</v>
      </c>
      <c r="F1962" s="103">
        <v>34.471379922899999</v>
      </c>
      <c r="G1962" s="103">
        <v>43.7353503848</v>
      </c>
      <c r="H1962" s="102">
        <v>615</v>
      </c>
      <c r="I1962" s="102">
        <v>3690</v>
      </c>
      <c r="J1962" s="103"/>
      <c r="K1962" s="103"/>
      <c r="L1962" s="103">
        <v>85</v>
      </c>
      <c r="M1962" s="103">
        <v>450</v>
      </c>
      <c r="N1962" s="103">
        <v>80</v>
      </c>
      <c r="O1962" s="103"/>
      <c r="P1962" s="103"/>
      <c r="Q1962" s="103"/>
      <c r="R1962" s="103"/>
      <c r="S1962" s="103"/>
      <c r="T1962" s="103"/>
      <c r="U1962" s="103"/>
      <c r="V1962" s="103"/>
      <c r="W1962" s="103">
        <v>13</v>
      </c>
      <c r="X1962" s="103"/>
      <c r="Y1962" s="103"/>
      <c r="Z1962" s="103"/>
      <c r="AA1962" s="103">
        <v>96</v>
      </c>
      <c r="AB1962" s="103"/>
      <c r="AC1962" s="103">
        <v>326</v>
      </c>
      <c r="AD1962" s="103"/>
      <c r="AE1962" s="103"/>
      <c r="AF1962" s="103"/>
      <c r="AG1962" s="103"/>
      <c r="AH1962" s="103"/>
      <c r="AI1962" s="103">
        <v>108</v>
      </c>
      <c r="AJ1962" s="103">
        <v>72</v>
      </c>
      <c r="AK1962" s="103"/>
      <c r="AL1962" s="103"/>
      <c r="AM1962" s="103"/>
      <c r="AN1962" s="103">
        <v>576</v>
      </c>
      <c r="AO1962" s="103">
        <v>39</v>
      </c>
      <c r="AP1962" s="103"/>
      <c r="AQ1962" s="103"/>
      <c r="AR1962" s="103"/>
      <c r="AS1962" s="103"/>
      <c r="AT1962" s="103"/>
      <c r="AU1962" s="103"/>
      <c r="AV1962" s="103"/>
      <c r="AW1962" s="104" t="str">
        <f>HYPERLINK("http://www.openstreetmap.org/?mlat=34.4714&amp;mlon=43.7354&amp;zoom=12#map=12/34.4714/43.7354","Maplink1")</f>
        <v>Maplink1</v>
      </c>
      <c r="AX1962" s="104" t="str">
        <f>HYPERLINK("https://www.google.iq/maps/search/+34.4714,43.7354/@34.4714,43.7354,14z?hl=en","Maplink2")</f>
        <v>Maplink2</v>
      </c>
      <c r="AY1962" s="104" t="str">
        <f>HYPERLINK("http://www.bing.com/maps/?lvl=14&amp;sty=h&amp;cp=34.4714~43.7354&amp;sp=point.34.4714_43.7354","Maplink3")</f>
        <v>Maplink3</v>
      </c>
    </row>
    <row r="1963" spans="1:51" x14ac:dyDescent="0.2">
      <c r="A1963" s="102">
        <v>23206</v>
      </c>
      <c r="B1963" s="103" t="s">
        <v>36</v>
      </c>
      <c r="C1963" s="103" t="s">
        <v>112</v>
      </c>
      <c r="D1963" s="103" t="s">
        <v>3760</v>
      </c>
      <c r="E1963" s="103" t="s">
        <v>3761</v>
      </c>
      <c r="F1963" s="103">
        <v>34.6053898567</v>
      </c>
      <c r="G1963" s="103">
        <v>43.676170343499997</v>
      </c>
      <c r="H1963" s="102">
        <v>427</v>
      </c>
      <c r="I1963" s="102">
        <v>2562</v>
      </c>
      <c r="J1963" s="103"/>
      <c r="K1963" s="103"/>
      <c r="L1963" s="103">
        <v>35</v>
      </c>
      <c r="M1963" s="103">
        <v>392</v>
      </c>
      <c r="N1963" s="103"/>
      <c r="O1963" s="103"/>
      <c r="P1963" s="103"/>
      <c r="Q1963" s="103"/>
      <c r="R1963" s="103"/>
      <c r="S1963" s="103"/>
      <c r="T1963" s="103"/>
      <c r="U1963" s="103"/>
      <c r="V1963" s="103"/>
      <c r="W1963" s="103">
        <v>72</v>
      </c>
      <c r="X1963" s="103"/>
      <c r="Y1963" s="103">
        <v>18</v>
      </c>
      <c r="Z1963" s="103"/>
      <c r="AA1963" s="103">
        <v>55</v>
      </c>
      <c r="AB1963" s="103"/>
      <c r="AC1963" s="103">
        <v>186</v>
      </c>
      <c r="AD1963" s="103"/>
      <c r="AE1963" s="103"/>
      <c r="AF1963" s="103"/>
      <c r="AG1963" s="103">
        <v>2</v>
      </c>
      <c r="AH1963" s="103"/>
      <c r="AI1963" s="103">
        <v>55</v>
      </c>
      <c r="AJ1963" s="103">
        <v>39</v>
      </c>
      <c r="AK1963" s="103"/>
      <c r="AL1963" s="103"/>
      <c r="AM1963" s="103"/>
      <c r="AN1963" s="103">
        <v>350</v>
      </c>
      <c r="AO1963" s="103">
        <v>65</v>
      </c>
      <c r="AP1963" s="103">
        <v>12</v>
      </c>
      <c r="AQ1963" s="103"/>
      <c r="AR1963" s="103"/>
      <c r="AS1963" s="103"/>
      <c r="AT1963" s="103"/>
      <c r="AU1963" s="103"/>
      <c r="AV1963" s="103"/>
      <c r="AW1963" s="104" t="str">
        <f>HYPERLINK("http://www.openstreetmap.org/?mlat=34.6054&amp;mlon=43.6762&amp;zoom=12#map=12/34.6054/43.6762","Maplink1")</f>
        <v>Maplink1</v>
      </c>
      <c r="AX1963" s="104" t="str">
        <f>HYPERLINK("https://www.google.iq/maps/search/+34.6054,43.6762/@34.6054,43.6762,14z?hl=en","Maplink2")</f>
        <v>Maplink2</v>
      </c>
      <c r="AY1963" s="104" t="str">
        <f>HYPERLINK("http://www.bing.com/maps/?lvl=14&amp;sty=h&amp;cp=34.6054~43.6762&amp;sp=point.34.6054_43.6762","Maplink3")</f>
        <v>Maplink3</v>
      </c>
    </row>
    <row r="1964" spans="1:51" x14ac:dyDescent="0.2">
      <c r="A1964" s="102">
        <v>28413</v>
      </c>
      <c r="B1964" s="103" t="s">
        <v>36</v>
      </c>
      <c r="C1964" s="103" t="s">
        <v>112</v>
      </c>
      <c r="D1964" s="103" t="s">
        <v>3762</v>
      </c>
      <c r="E1964" s="103" t="s">
        <v>373</v>
      </c>
      <c r="F1964" s="103">
        <v>34.604528364700002</v>
      </c>
      <c r="G1964" s="103">
        <v>43.670068150399999</v>
      </c>
      <c r="H1964" s="102">
        <v>80</v>
      </c>
      <c r="I1964" s="102">
        <v>480</v>
      </c>
      <c r="J1964" s="103"/>
      <c r="K1964" s="103"/>
      <c r="L1964" s="103">
        <v>15</v>
      </c>
      <c r="M1964" s="103">
        <v>65</v>
      </c>
      <c r="N1964" s="103"/>
      <c r="O1964" s="103"/>
      <c r="P1964" s="103"/>
      <c r="Q1964" s="103"/>
      <c r="R1964" s="103"/>
      <c r="S1964" s="103"/>
      <c r="T1964" s="103"/>
      <c r="U1964" s="103"/>
      <c r="V1964" s="103"/>
      <c r="W1964" s="103"/>
      <c r="X1964" s="103"/>
      <c r="Y1964" s="103"/>
      <c r="Z1964" s="103"/>
      <c r="AA1964" s="103"/>
      <c r="AB1964" s="103"/>
      <c r="AC1964" s="103"/>
      <c r="AD1964" s="103"/>
      <c r="AE1964" s="103"/>
      <c r="AF1964" s="103"/>
      <c r="AG1964" s="103"/>
      <c r="AH1964" s="103"/>
      <c r="AI1964" s="103">
        <v>80</v>
      </c>
      <c r="AJ1964" s="103"/>
      <c r="AK1964" s="103"/>
      <c r="AL1964" s="103"/>
      <c r="AM1964" s="103"/>
      <c r="AN1964" s="103">
        <v>50</v>
      </c>
      <c r="AO1964" s="103">
        <v>20</v>
      </c>
      <c r="AP1964" s="103">
        <v>10</v>
      </c>
      <c r="AQ1964" s="103"/>
      <c r="AR1964" s="103"/>
      <c r="AS1964" s="103"/>
      <c r="AT1964" s="103"/>
      <c r="AU1964" s="103"/>
      <c r="AV1964" s="103"/>
      <c r="AW1964" s="104" t="str">
        <f>HYPERLINK("http://www.openstreetmap.org/?mlat=34.6045&amp;mlon=43.6701&amp;zoom=12#map=12/34.6045/43.6701","Maplink1")</f>
        <v>Maplink1</v>
      </c>
      <c r="AX1964" s="104" t="str">
        <f>HYPERLINK("https://www.google.iq/maps/search/+34.6045,43.6701/@34.6045,43.6701,14z?hl=en","Maplink2")</f>
        <v>Maplink2</v>
      </c>
      <c r="AY1964" s="104" t="str">
        <f>HYPERLINK("http://www.bing.com/maps/?lvl=14&amp;sty=h&amp;cp=34.6045~43.6701&amp;sp=point.34.6045_43.6701","Maplink3")</f>
        <v>Maplink3</v>
      </c>
    </row>
    <row r="1965" spans="1:51" x14ac:dyDescent="0.2">
      <c r="A1965" s="102">
        <v>20608</v>
      </c>
      <c r="B1965" s="103" t="s">
        <v>36</v>
      </c>
      <c r="C1965" s="103" t="s">
        <v>112</v>
      </c>
      <c r="D1965" s="103" t="s">
        <v>3785</v>
      </c>
      <c r="E1965" s="103" t="s">
        <v>3786</v>
      </c>
      <c r="F1965" s="103">
        <v>34.694626305100002</v>
      </c>
      <c r="G1965" s="103">
        <v>43.715220704300002</v>
      </c>
      <c r="H1965" s="102">
        <v>775</v>
      </c>
      <c r="I1965" s="102">
        <v>4650</v>
      </c>
      <c r="J1965" s="103"/>
      <c r="K1965" s="103"/>
      <c r="L1965" s="103">
        <v>5</v>
      </c>
      <c r="M1965" s="103">
        <v>770</v>
      </c>
      <c r="N1965" s="103"/>
      <c r="O1965" s="103"/>
      <c r="P1965" s="103"/>
      <c r="Q1965" s="103"/>
      <c r="R1965" s="103"/>
      <c r="S1965" s="103"/>
      <c r="T1965" s="103"/>
      <c r="U1965" s="103"/>
      <c r="V1965" s="103"/>
      <c r="W1965" s="103"/>
      <c r="X1965" s="103"/>
      <c r="Y1965" s="103"/>
      <c r="Z1965" s="103"/>
      <c r="AA1965" s="103"/>
      <c r="AB1965" s="103"/>
      <c r="AC1965" s="103">
        <v>775</v>
      </c>
      <c r="AD1965" s="103"/>
      <c r="AE1965" s="103"/>
      <c r="AF1965" s="103"/>
      <c r="AG1965" s="103"/>
      <c r="AH1965" s="103"/>
      <c r="AI1965" s="103"/>
      <c r="AJ1965" s="103"/>
      <c r="AK1965" s="103"/>
      <c r="AL1965" s="103"/>
      <c r="AM1965" s="103">
        <v>5</v>
      </c>
      <c r="AN1965" s="103">
        <v>420</v>
      </c>
      <c r="AO1965" s="103">
        <v>350</v>
      </c>
      <c r="AP1965" s="103"/>
      <c r="AQ1965" s="103"/>
      <c r="AR1965" s="103"/>
      <c r="AS1965" s="103"/>
      <c r="AT1965" s="103"/>
      <c r="AU1965" s="103"/>
      <c r="AV1965" s="103"/>
      <c r="AW1965" s="104" t="str">
        <f>HYPERLINK("http://www.openstreetmap.org/?mlat=34.6946&amp;mlon=43.7152&amp;zoom=12#map=12/34.6946/43.7152","Maplink1")</f>
        <v>Maplink1</v>
      </c>
      <c r="AX1965" s="104" t="str">
        <f>HYPERLINK("https://www.google.iq/maps/search/+34.6946,43.7152/@34.6946,43.7152,14z?hl=en","Maplink2")</f>
        <v>Maplink2</v>
      </c>
      <c r="AY1965" s="104" t="str">
        <f>HYPERLINK("http://www.bing.com/maps/?lvl=14&amp;sty=h&amp;cp=34.6946~43.7152&amp;sp=point.34.6946_43.7152","Maplink3")</f>
        <v>Maplink3</v>
      </c>
    </row>
    <row r="1966" spans="1:51" x14ac:dyDescent="0.2">
      <c r="A1966" s="102">
        <v>20663</v>
      </c>
      <c r="B1966" s="103" t="s">
        <v>36</v>
      </c>
      <c r="C1966" s="103" t="s">
        <v>112</v>
      </c>
      <c r="D1966" s="103" t="s">
        <v>3759</v>
      </c>
      <c r="E1966" s="103" t="s">
        <v>1318</v>
      </c>
      <c r="F1966" s="103">
        <v>34.580094656</v>
      </c>
      <c r="G1966" s="103">
        <v>43.681505927800004</v>
      </c>
      <c r="H1966" s="102">
        <v>270</v>
      </c>
      <c r="I1966" s="102">
        <v>1620</v>
      </c>
      <c r="J1966" s="103"/>
      <c r="K1966" s="103"/>
      <c r="L1966" s="103">
        <v>34</v>
      </c>
      <c r="M1966" s="103">
        <v>236</v>
      </c>
      <c r="N1966" s="103"/>
      <c r="O1966" s="103"/>
      <c r="P1966" s="103"/>
      <c r="Q1966" s="103"/>
      <c r="R1966" s="103"/>
      <c r="S1966" s="103"/>
      <c r="T1966" s="103"/>
      <c r="U1966" s="103"/>
      <c r="V1966" s="103"/>
      <c r="W1966" s="103">
        <v>7</v>
      </c>
      <c r="X1966" s="103"/>
      <c r="Y1966" s="103"/>
      <c r="Z1966" s="103"/>
      <c r="AA1966" s="103">
        <v>52</v>
      </c>
      <c r="AB1966" s="103"/>
      <c r="AC1966" s="103">
        <v>183</v>
      </c>
      <c r="AD1966" s="103"/>
      <c r="AE1966" s="103"/>
      <c r="AF1966" s="103"/>
      <c r="AG1966" s="103"/>
      <c r="AH1966" s="103"/>
      <c r="AI1966" s="103">
        <v>14</v>
      </c>
      <c r="AJ1966" s="103">
        <v>14</v>
      </c>
      <c r="AK1966" s="103"/>
      <c r="AL1966" s="103"/>
      <c r="AM1966" s="103"/>
      <c r="AN1966" s="103">
        <v>220</v>
      </c>
      <c r="AO1966" s="103">
        <v>50</v>
      </c>
      <c r="AP1966" s="103"/>
      <c r="AQ1966" s="103"/>
      <c r="AR1966" s="103"/>
      <c r="AS1966" s="103"/>
      <c r="AT1966" s="103"/>
      <c r="AU1966" s="103"/>
      <c r="AV1966" s="103"/>
      <c r="AW1966" s="104" t="str">
        <f>HYPERLINK("http://www.openstreetmap.org/?mlat=34.5801&amp;mlon=43.6815&amp;zoom=12#map=12/34.5801/43.6815","Maplink1")</f>
        <v>Maplink1</v>
      </c>
      <c r="AX1966" s="104" t="str">
        <f>HYPERLINK("https://www.google.iq/maps/search/+34.5801,43.6815/@34.5801,43.6815,14z?hl=en","Maplink2")</f>
        <v>Maplink2</v>
      </c>
      <c r="AY1966" s="104" t="str">
        <f>HYPERLINK("http://www.bing.com/maps/?lvl=14&amp;sty=h&amp;cp=34.5801~43.6815&amp;sp=point.34.5801_43.6815","Maplink3")</f>
        <v>Maplink3</v>
      </c>
    </row>
    <row r="1967" spans="1:51" x14ac:dyDescent="0.2">
      <c r="A1967" s="102">
        <v>26034</v>
      </c>
      <c r="B1967" s="103" t="s">
        <v>36</v>
      </c>
      <c r="C1967" s="103" t="s">
        <v>112</v>
      </c>
      <c r="D1967" s="103" t="s">
        <v>3763</v>
      </c>
      <c r="E1967" s="103" t="s">
        <v>3764</v>
      </c>
      <c r="F1967" s="103">
        <v>34.728513491100003</v>
      </c>
      <c r="G1967" s="103">
        <v>43.640654314700001</v>
      </c>
      <c r="H1967" s="102">
        <v>390</v>
      </c>
      <c r="I1967" s="102">
        <v>2340</v>
      </c>
      <c r="J1967" s="103">
        <v>29</v>
      </c>
      <c r="K1967" s="103"/>
      <c r="L1967" s="103">
        <v>25</v>
      </c>
      <c r="M1967" s="103">
        <v>336</v>
      </c>
      <c r="N1967" s="103"/>
      <c r="O1967" s="103"/>
      <c r="P1967" s="103"/>
      <c r="Q1967" s="103"/>
      <c r="R1967" s="103"/>
      <c r="S1967" s="103"/>
      <c r="T1967" s="103"/>
      <c r="U1967" s="103"/>
      <c r="V1967" s="103"/>
      <c r="W1967" s="103"/>
      <c r="X1967" s="103"/>
      <c r="Y1967" s="103">
        <v>2</v>
      </c>
      <c r="Z1967" s="103"/>
      <c r="AA1967" s="103">
        <v>61</v>
      </c>
      <c r="AB1967" s="103"/>
      <c r="AC1967" s="103">
        <v>76</v>
      </c>
      <c r="AD1967" s="103"/>
      <c r="AE1967" s="103"/>
      <c r="AF1967" s="103"/>
      <c r="AG1967" s="103">
        <v>9</v>
      </c>
      <c r="AH1967" s="103"/>
      <c r="AI1967" s="103">
        <v>205</v>
      </c>
      <c r="AJ1967" s="103">
        <v>35</v>
      </c>
      <c r="AK1967" s="103"/>
      <c r="AL1967" s="103">
        <v>2</v>
      </c>
      <c r="AM1967" s="103"/>
      <c r="AN1967" s="103">
        <v>180</v>
      </c>
      <c r="AO1967" s="103"/>
      <c r="AP1967" s="103"/>
      <c r="AQ1967" s="103">
        <v>210</v>
      </c>
      <c r="AR1967" s="103"/>
      <c r="AS1967" s="103"/>
      <c r="AT1967" s="103"/>
      <c r="AU1967" s="103"/>
      <c r="AV1967" s="103"/>
      <c r="AW1967" s="104" t="str">
        <f>HYPERLINK("http://www.openstreetmap.org/?mlat=34.7285&amp;mlon=43.6407&amp;zoom=12#map=12/34.7285/43.6407","Maplink1")</f>
        <v>Maplink1</v>
      </c>
      <c r="AX1967" s="104" t="str">
        <f>HYPERLINK("https://www.google.iq/maps/search/+34.7285,43.6407/@34.7285,43.6407,14z?hl=en","Maplink2")</f>
        <v>Maplink2</v>
      </c>
      <c r="AY1967" s="104" t="str">
        <f>HYPERLINK("http://www.bing.com/maps/?lvl=14&amp;sty=h&amp;cp=34.7285~43.6407&amp;sp=point.34.7285_43.6407","Maplink3")</f>
        <v>Maplink3</v>
      </c>
    </row>
    <row r="1968" spans="1:51" x14ac:dyDescent="0.2">
      <c r="A1968" s="102">
        <v>25922</v>
      </c>
      <c r="B1968" s="103" t="s">
        <v>36</v>
      </c>
      <c r="C1968" s="103" t="s">
        <v>112</v>
      </c>
      <c r="D1968" s="103" t="s">
        <v>3765</v>
      </c>
      <c r="E1968" s="103" t="s">
        <v>3766</v>
      </c>
      <c r="F1968" s="103">
        <v>34.645780885199997</v>
      </c>
      <c r="G1968" s="103">
        <v>43.6660867266</v>
      </c>
      <c r="H1968" s="102">
        <v>2152</v>
      </c>
      <c r="I1968" s="102">
        <v>12912</v>
      </c>
      <c r="J1968" s="103"/>
      <c r="K1968" s="103"/>
      <c r="L1968" s="103">
        <v>247</v>
      </c>
      <c r="M1968" s="103">
        <v>1905</v>
      </c>
      <c r="N1968" s="103"/>
      <c r="O1968" s="103"/>
      <c r="P1968" s="103"/>
      <c r="Q1968" s="103"/>
      <c r="R1968" s="103"/>
      <c r="S1968" s="103"/>
      <c r="T1968" s="103"/>
      <c r="U1968" s="103"/>
      <c r="V1968" s="103"/>
      <c r="W1968" s="103">
        <v>44</v>
      </c>
      <c r="X1968" s="103"/>
      <c r="Y1968" s="103">
        <v>22</v>
      </c>
      <c r="Z1968" s="103"/>
      <c r="AA1968" s="103">
        <v>800</v>
      </c>
      <c r="AB1968" s="103"/>
      <c r="AC1968" s="103">
        <v>1017</v>
      </c>
      <c r="AD1968" s="103"/>
      <c r="AE1968" s="103"/>
      <c r="AF1968" s="103"/>
      <c r="AG1968" s="103">
        <v>3</v>
      </c>
      <c r="AH1968" s="103"/>
      <c r="AI1968" s="103">
        <v>149</v>
      </c>
      <c r="AJ1968" s="103">
        <v>117</v>
      </c>
      <c r="AK1968" s="103"/>
      <c r="AL1968" s="103"/>
      <c r="AM1968" s="103"/>
      <c r="AN1968" s="103">
        <v>1022</v>
      </c>
      <c r="AO1968" s="103">
        <v>600</v>
      </c>
      <c r="AP1968" s="103">
        <v>530</v>
      </c>
      <c r="AQ1968" s="103"/>
      <c r="AR1968" s="103"/>
      <c r="AS1968" s="103"/>
      <c r="AT1968" s="103"/>
      <c r="AU1968" s="103"/>
      <c r="AV1968" s="103"/>
      <c r="AW1968" s="104" t="str">
        <f>HYPERLINK("http://www.openstreetmap.org/?mlat=34.6458&amp;mlon=43.6661&amp;zoom=12#map=12/34.6458/43.6661","Maplink1")</f>
        <v>Maplink1</v>
      </c>
      <c r="AX1968" s="104" t="str">
        <f>HYPERLINK("https://www.google.iq/maps/search/+34.6458,43.6661/@34.6458,43.6661,14z?hl=en","Maplink2")</f>
        <v>Maplink2</v>
      </c>
      <c r="AY1968" s="104" t="str">
        <f>HYPERLINK("http://www.bing.com/maps/?lvl=14&amp;sty=h&amp;cp=34.6458~43.6661&amp;sp=point.34.6458_43.6661","Maplink3")</f>
        <v>Maplink3</v>
      </c>
    </row>
    <row r="1969" spans="1:51" x14ac:dyDescent="0.2">
      <c r="A1969" s="102">
        <v>28412</v>
      </c>
      <c r="B1969" s="103" t="s">
        <v>36</v>
      </c>
      <c r="C1969" s="103" t="s">
        <v>112</v>
      </c>
      <c r="D1969" s="103" t="s">
        <v>3773</v>
      </c>
      <c r="E1969" s="103" t="s">
        <v>3774</v>
      </c>
      <c r="F1969" s="103">
        <v>34.6012128323</v>
      </c>
      <c r="G1969" s="103">
        <v>43.672534106599997</v>
      </c>
      <c r="H1969" s="102">
        <v>118</v>
      </c>
      <c r="I1969" s="102">
        <v>708</v>
      </c>
      <c r="J1969" s="103"/>
      <c r="K1969" s="103"/>
      <c r="L1969" s="103">
        <v>28</v>
      </c>
      <c r="M1969" s="103">
        <v>90</v>
      </c>
      <c r="N1969" s="103"/>
      <c r="O1969" s="103"/>
      <c r="P1969" s="103"/>
      <c r="Q1969" s="103"/>
      <c r="R1969" s="103"/>
      <c r="S1969" s="103"/>
      <c r="T1969" s="103"/>
      <c r="U1969" s="103"/>
      <c r="V1969" s="103"/>
      <c r="W1969" s="103"/>
      <c r="X1969" s="103"/>
      <c r="Y1969" s="103"/>
      <c r="Z1969" s="103"/>
      <c r="AA1969" s="103"/>
      <c r="AB1969" s="103"/>
      <c r="AC1969" s="103">
        <v>3</v>
      </c>
      <c r="AD1969" s="103"/>
      <c r="AE1969" s="103"/>
      <c r="AF1969" s="103"/>
      <c r="AG1969" s="103"/>
      <c r="AH1969" s="103"/>
      <c r="AI1969" s="103">
        <v>115</v>
      </c>
      <c r="AJ1969" s="103"/>
      <c r="AK1969" s="103"/>
      <c r="AL1969" s="103"/>
      <c r="AM1969" s="103"/>
      <c r="AN1969" s="103">
        <v>75</v>
      </c>
      <c r="AO1969" s="103">
        <v>23</v>
      </c>
      <c r="AP1969" s="103">
        <v>20</v>
      </c>
      <c r="AQ1969" s="103"/>
      <c r="AR1969" s="103"/>
      <c r="AS1969" s="103"/>
      <c r="AT1969" s="103"/>
      <c r="AU1969" s="103"/>
      <c r="AV1969" s="103"/>
      <c r="AW1969" s="104" t="str">
        <f>HYPERLINK("http://www.openstreetmap.org/?mlat=34.6012&amp;mlon=43.6725&amp;zoom=12#map=12/34.6012/43.6725","Maplink1")</f>
        <v>Maplink1</v>
      </c>
      <c r="AX1969" s="104" t="str">
        <f>HYPERLINK("https://www.google.iq/maps/search/+34.6012,43.6725/@34.6012,43.6725,14z?hl=en","Maplink2")</f>
        <v>Maplink2</v>
      </c>
      <c r="AY1969" s="104" t="str">
        <f>HYPERLINK("http://www.bing.com/maps/?lvl=14&amp;sty=h&amp;cp=34.6012~43.6725&amp;sp=point.34.6012_43.6725","Maplink3")</f>
        <v>Maplink3</v>
      </c>
    </row>
    <row r="1970" spans="1:51" x14ac:dyDescent="0.2">
      <c r="A1970" s="102">
        <v>24212</v>
      </c>
      <c r="B1970" s="103" t="s">
        <v>36</v>
      </c>
      <c r="C1970" s="103" t="s">
        <v>112</v>
      </c>
      <c r="D1970" s="103" t="s">
        <v>3728</v>
      </c>
      <c r="E1970" s="103" t="s">
        <v>3729</v>
      </c>
      <c r="F1970" s="103">
        <v>34.768544997200003</v>
      </c>
      <c r="G1970" s="103">
        <v>43.650857049499997</v>
      </c>
      <c r="H1970" s="102">
        <v>125</v>
      </c>
      <c r="I1970" s="102">
        <v>750</v>
      </c>
      <c r="J1970" s="103"/>
      <c r="K1970" s="103"/>
      <c r="L1970" s="103"/>
      <c r="M1970" s="103">
        <v>109</v>
      </c>
      <c r="N1970" s="103">
        <v>16</v>
      </c>
      <c r="O1970" s="103"/>
      <c r="P1970" s="103"/>
      <c r="Q1970" s="103"/>
      <c r="R1970" s="103"/>
      <c r="S1970" s="103"/>
      <c r="T1970" s="103"/>
      <c r="U1970" s="103"/>
      <c r="V1970" s="103"/>
      <c r="W1970" s="103">
        <v>5</v>
      </c>
      <c r="X1970" s="103"/>
      <c r="Y1970" s="103"/>
      <c r="Z1970" s="103"/>
      <c r="AA1970" s="103">
        <v>20</v>
      </c>
      <c r="AB1970" s="103"/>
      <c r="AC1970" s="103">
        <v>50</v>
      </c>
      <c r="AD1970" s="103"/>
      <c r="AE1970" s="103"/>
      <c r="AF1970" s="103">
        <v>20</v>
      </c>
      <c r="AG1970" s="103"/>
      <c r="AH1970" s="103"/>
      <c r="AI1970" s="103">
        <v>20</v>
      </c>
      <c r="AJ1970" s="103">
        <v>10</v>
      </c>
      <c r="AK1970" s="103"/>
      <c r="AL1970" s="103"/>
      <c r="AM1970" s="103"/>
      <c r="AN1970" s="103">
        <v>60</v>
      </c>
      <c r="AO1970" s="103">
        <v>35</v>
      </c>
      <c r="AP1970" s="103">
        <v>30</v>
      </c>
      <c r="AQ1970" s="103"/>
      <c r="AR1970" s="103"/>
      <c r="AS1970" s="103"/>
      <c r="AT1970" s="103"/>
      <c r="AU1970" s="103"/>
      <c r="AV1970" s="103"/>
      <c r="AW1970" s="104" t="str">
        <f>HYPERLINK("http://www.openstreetmap.org/?mlat=34.7685&amp;mlon=43.6509&amp;zoom=12#map=12/34.7685/43.6509","Maplink1")</f>
        <v>Maplink1</v>
      </c>
      <c r="AX1970" s="104" t="str">
        <f>HYPERLINK("https://www.google.iq/maps/search/+34.7685,43.6509/@34.7685,43.6509,14z?hl=en","Maplink2")</f>
        <v>Maplink2</v>
      </c>
      <c r="AY1970" s="104" t="str">
        <f>HYPERLINK("http://www.bing.com/maps/?lvl=14&amp;sty=h&amp;cp=34.7685~43.6509&amp;sp=point.34.7685_43.6509","Maplink3")</f>
        <v>Maplink3</v>
      </c>
    </row>
    <row r="1971" spans="1:51" x14ac:dyDescent="0.2">
      <c r="A1971" s="102">
        <v>23244</v>
      </c>
      <c r="B1971" s="103" t="s">
        <v>36</v>
      </c>
      <c r="C1971" s="103" t="s">
        <v>112</v>
      </c>
      <c r="D1971" s="103" t="s">
        <v>374</v>
      </c>
      <c r="E1971" s="103" t="s">
        <v>375</v>
      </c>
      <c r="F1971" s="103">
        <v>34.688866816299999</v>
      </c>
      <c r="G1971" s="103">
        <v>43.717271047899999</v>
      </c>
      <c r="H1971" s="102">
        <v>292</v>
      </c>
      <c r="I1971" s="102">
        <v>1752</v>
      </c>
      <c r="J1971" s="103"/>
      <c r="K1971" s="103"/>
      <c r="L1971" s="103">
        <v>12</v>
      </c>
      <c r="M1971" s="103">
        <v>255</v>
      </c>
      <c r="N1971" s="103">
        <v>25</v>
      </c>
      <c r="O1971" s="103"/>
      <c r="P1971" s="103"/>
      <c r="Q1971" s="103"/>
      <c r="R1971" s="103"/>
      <c r="S1971" s="103"/>
      <c r="T1971" s="103"/>
      <c r="U1971" s="103"/>
      <c r="V1971" s="103"/>
      <c r="W1971" s="103">
        <v>14</v>
      </c>
      <c r="X1971" s="103"/>
      <c r="Y1971" s="103"/>
      <c r="Z1971" s="103"/>
      <c r="AA1971" s="103">
        <v>29</v>
      </c>
      <c r="AB1971" s="103"/>
      <c r="AC1971" s="103">
        <v>116</v>
      </c>
      <c r="AD1971" s="103"/>
      <c r="AE1971" s="103"/>
      <c r="AF1971" s="103"/>
      <c r="AG1971" s="103"/>
      <c r="AH1971" s="103"/>
      <c r="AI1971" s="103">
        <v>133</v>
      </c>
      <c r="AJ1971" s="103"/>
      <c r="AK1971" s="103"/>
      <c r="AL1971" s="103"/>
      <c r="AM1971" s="103"/>
      <c r="AN1971" s="103">
        <v>280</v>
      </c>
      <c r="AO1971" s="103">
        <v>12</v>
      </c>
      <c r="AP1971" s="103"/>
      <c r="AQ1971" s="103"/>
      <c r="AR1971" s="103"/>
      <c r="AS1971" s="103"/>
      <c r="AT1971" s="103"/>
      <c r="AU1971" s="103"/>
      <c r="AV1971" s="103"/>
      <c r="AW1971" s="104" t="str">
        <f>HYPERLINK("http://www.openstreetmap.org/?mlat=34.6889&amp;mlon=43.7173&amp;zoom=12#map=12/34.6889/43.7173","Maplink1")</f>
        <v>Maplink1</v>
      </c>
      <c r="AX1971" s="104" t="str">
        <f>HYPERLINK("https://www.google.iq/maps/search/+34.6889,43.7173/@34.6889,43.7173,14z?hl=en","Maplink2")</f>
        <v>Maplink2</v>
      </c>
      <c r="AY1971" s="104" t="str">
        <f>HYPERLINK("http://www.bing.com/maps/?lvl=14&amp;sty=h&amp;cp=34.6889~43.7173&amp;sp=point.34.6889_43.7173","Maplink3")</f>
        <v>Maplink3</v>
      </c>
    </row>
    <row r="1972" spans="1:51" x14ac:dyDescent="0.2">
      <c r="A1972" s="102">
        <v>25569</v>
      </c>
      <c r="B1972" s="103" t="s">
        <v>36</v>
      </c>
      <c r="C1972" s="103" t="s">
        <v>112</v>
      </c>
      <c r="D1972" s="103" t="s">
        <v>3803</v>
      </c>
      <c r="E1972" s="103" t="s">
        <v>3804</v>
      </c>
      <c r="F1972" s="103">
        <v>34.704490884000002</v>
      </c>
      <c r="G1972" s="103">
        <v>43.679389426999997</v>
      </c>
      <c r="H1972" s="102">
        <v>200</v>
      </c>
      <c r="I1972" s="102">
        <v>1200</v>
      </c>
      <c r="J1972" s="103"/>
      <c r="K1972" s="103"/>
      <c r="L1972" s="103"/>
      <c r="M1972" s="103">
        <v>190</v>
      </c>
      <c r="N1972" s="103">
        <v>10</v>
      </c>
      <c r="O1972" s="103"/>
      <c r="P1972" s="103"/>
      <c r="Q1972" s="103"/>
      <c r="R1972" s="103"/>
      <c r="S1972" s="103"/>
      <c r="T1972" s="103"/>
      <c r="U1972" s="103"/>
      <c r="V1972" s="103"/>
      <c r="W1972" s="103"/>
      <c r="X1972" s="103"/>
      <c r="Y1972" s="103"/>
      <c r="Z1972" s="103"/>
      <c r="AA1972" s="103">
        <v>19</v>
      </c>
      <c r="AB1972" s="103"/>
      <c r="AC1972" s="103">
        <v>174</v>
      </c>
      <c r="AD1972" s="103"/>
      <c r="AE1972" s="103"/>
      <c r="AF1972" s="103"/>
      <c r="AG1972" s="103"/>
      <c r="AH1972" s="103"/>
      <c r="AI1972" s="103"/>
      <c r="AJ1972" s="103">
        <v>7</v>
      </c>
      <c r="AK1972" s="103"/>
      <c r="AL1972" s="103"/>
      <c r="AM1972" s="103"/>
      <c r="AN1972" s="103"/>
      <c r="AO1972" s="103">
        <v>174</v>
      </c>
      <c r="AP1972" s="103">
        <v>26</v>
      </c>
      <c r="AQ1972" s="103"/>
      <c r="AR1972" s="103"/>
      <c r="AS1972" s="103"/>
      <c r="AT1972" s="103"/>
      <c r="AU1972" s="103"/>
      <c r="AV1972" s="103"/>
      <c r="AW1972" s="104" t="str">
        <f>HYPERLINK("http://www.openstreetmap.org/?mlat=34.7045&amp;mlon=43.6794&amp;zoom=12#map=12/34.7045/43.6794","Maplink1")</f>
        <v>Maplink1</v>
      </c>
      <c r="AX1972" s="104" t="str">
        <f>HYPERLINK("https://www.google.iq/maps/search/+34.7045,43.6794/@34.7045,43.6794,14z?hl=en","Maplink2")</f>
        <v>Maplink2</v>
      </c>
      <c r="AY1972" s="104" t="str">
        <f>HYPERLINK("http://www.bing.com/maps/?lvl=14&amp;sty=h&amp;cp=34.7045~43.6794&amp;sp=point.34.7045_43.6794","Maplink3")</f>
        <v>Maplink3</v>
      </c>
    </row>
    <row r="1973" spans="1:51" x14ac:dyDescent="0.2">
      <c r="A1973" s="102">
        <v>22059</v>
      </c>
      <c r="B1973" s="103" t="s">
        <v>36</v>
      </c>
      <c r="C1973" s="103" t="s">
        <v>112</v>
      </c>
      <c r="D1973" s="103" t="s">
        <v>3805</v>
      </c>
      <c r="E1973" s="103" t="s">
        <v>3806</v>
      </c>
      <c r="F1973" s="103">
        <v>34.793275546499999</v>
      </c>
      <c r="G1973" s="103">
        <v>43.604259388700001</v>
      </c>
      <c r="H1973" s="102">
        <v>410</v>
      </c>
      <c r="I1973" s="102">
        <v>2460</v>
      </c>
      <c r="J1973" s="103"/>
      <c r="K1973" s="103"/>
      <c r="L1973" s="103"/>
      <c r="M1973" s="103">
        <v>400</v>
      </c>
      <c r="N1973" s="103">
        <v>10</v>
      </c>
      <c r="O1973" s="103"/>
      <c r="P1973" s="103"/>
      <c r="Q1973" s="103"/>
      <c r="R1973" s="103"/>
      <c r="S1973" s="103"/>
      <c r="T1973" s="103"/>
      <c r="U1973" s="103"/>
      <c r="V1973" s="103"/>
      <c r="W1973" s="103"/>
      <c r="X1973" s="103"/>
      <c r="Y1973" s="103"/>
      <c r="Z1973" s="103"/>
      <c r="AA1973" s="103"/>
      <c r="AB1973" s="103"/>
      <c r="AC1973" s="103">
        <v>410</v>
      </c>
      <c r="AD1973" s="103"/>
      <c r="AE1973" s="103"/>
      <c r="AF1973" s="103"/>
      <c r="AG1973" s="103"/>
      <c r="AH1973" s="103"/>
      <c r="AI1973" s="103"/>
      <c r="AJ1973" s="103"/>
      <c r="AK1973" s="103"/>
      <c r="AL1973" s="103"/>
      <c r="AM1973" s="103"/>
      <c r="AN1973" s="103"/>
      <c r="AO1973" s="103"/>
      <c r="AP1973" s="103">
        <v>410</v>
      </c>
      <c r="AQ1973" s="103"/>
      <c r="AR1973" s="103"/>
      <c r="AS1973" s="103"/>
      <c r="AT1973" s="103"/>
      <c r="AU1973" s="103"/>
      <c r="AV1973" s="103"/>
      <c r="AW1973" s="104" t="str">
        <f>HYPERLINK("http://www.openstreetmap.org/?mlat=34.7933&amp;mlon=43.6043&amp;zoom=12#map=12/34.7933/43.6043","Maplink1")</f>
        <v>Maplink1</v>
      </c>
      <c r="AX1973" s="104" t="str">
        <f>HYPERLINK("https://www.google.iq/maps/search/+34.7933,43.6043/@34.7933,43.6043,14z?hl=en","Maplink2")</f>
        <v>Maplink2</v>
      </c>
      <c r="AY1973" s="104" t="str">
        <f>HYPERLINK("http://www.bing.com/maps/?lvl=14&amp;sty=h&amp;cp=34.7933~43.6043&amp;sp=point.34.7933_43.6043","Maplink3")</f>
        <v>Maplink3</v>
      </c>
    </row>
    <row r="1974" spans="1:51" x14ac:dyDescent="0.2">
      <c r="A1974" s="102">
        <v>21592</v>
      </c>
      <c r="B1974" s="103" t="s">
        <v>36</v>
      </c>
      <c r="C1974" s="103" t="s">
        <v>112</v>
      </c>
      <c r="D1974" s="103" t="s">
        <v>3789</v>
      </c>
      <c r="E1974" s="103" t="s">
        <v>3790</v>
      </c>
      <c r="F1974" s="103">
        <v>34.713268253800003</v>
      </c>
      <c r="G1974" s="103">
        <v>43.706691074699997</v>
      </c>
      <c r="H1974" s="102">
        <v>765</v>
      </c>
      <c r="I1974" s="102">
        <v>4590</v>
      </c>
      <c r="J1974" s="103"/>
      <c r="K1974" s="103"/>
      <c r="L1974" s="103">
        <v>10</v>
      </c>
      <c r="M1974" s="103">
        <v>730</v>
      </c>
      <c r="N1974" s="103">
        <v>25</v>
      </c>
      <c r="O1974" s="103"/>
      <c r="P1974" s="103"/>
      <c r="Q1974" s="103"/>
      <c r="R1974" s="103"/>
      <c r="S1974" s="103"/>
      <c r="T1974" s="103"/>
      <c r="U1974" s="103"/>
      <c r="V1974" s="103"/>
      <c r="W1974" s="103"/>
      <c r="X1974" s="103"/>
      <c r="Y1974" s="103"/>
      <c r="Z1974" s="103"/>
      <c r="AA1974" s="103">
        <v>200</v>
      </c>
      <c r="AB1974" s="103"/>
      <c r="AC1974" s="103">
        <v>415</v>
      </c>
      <c r="AD1974" s="103"/>
      <c r="AE1974" s="103"/>
      <c r="AF1974" s="103"/>
      <c r="AG1974" s="103"/>
      <c r="AH1974" s="103"/>
      <c r="AI1974" s="103">
        <v>150</v>
      </c>
      <c r="AJ1974" s="103"/>
      <c r="AK1974" s="103"/>
      <c r="AL1974" s="103"/>
      <c r="AM1974" s="103"/>
      <c r="AN1974" s="103">
        <v>615</v>
      </c>
      <c r="AO1974" s="103">
        <v>150</v>
      </c>
      <c r="AP1974" s="103"/>
      <c r="AQ1974" s="103"/>
      <c r="AR1974" s="103"/>
      <c r="AS1974" s="103"/>
      <c r="AT1974" s="103"/>
      <c r="AU1974" s="103"/>
      <c r="AV1974" s="103"/>
      <c r="AW1974" s="104" t="str">
        <f>HYPERLINK("http://www.openstreetmap.org/?mlat=34.7133&amp;mlon=43.7067&amp;zoom=12#map=12/34.7133/43.7067","Maplink1")</f>
        <v>Maplink1</v>
      </c>
      <c r="AX1974" s="104" t="str">
        <f>HYPERLINK("https://www.google.iq/maps/search/+34.7133,43.7067/@34.7133,43.7067,14z?hl=en","Maplink2")</f>
        <v>Maplink2</v>
      </c>
      <c r="AY1974" s="104" t="str">
        <f>HYPERLINK("http://www.bing.com/maps/?lvl=14&amp;sty=h&amp;cp=34.7133~43.7067&amp;sp=point.34.7133_43.7067","Maplink3")</f>
        <v>Maplink3</v>
      </c>
    </row>
    <row r="1975" spans="1:51" x14ac:dyDescent="0.2">
      <c r="A1975" s="102">
        <v>20618</v>
      </c>
      <c r="B1975" s="103" t="s">
        <v>36</v>
      </c>
      <c r="C1975" s="103" t="s">
        <v>112</v>
      </c>
      <c r="D1975" s="103" t="s">
        <v>3791</v>
      </c>
      <c r="E1975" s="103" t="s">
        <v>3792</v>
      </c>
      <c r="F1975" s="103">
        <v>34.6986952464</v>
      </c>
      <c r="G1975" s="103">
        <v>43.6182605224</v>
      </c>
      <c r="H1975" s="102">
        <v>255</v>
      </c>
      <c r="I1975" s="102">
        <v>1530</v>
      </c>
      <c r="J1975" s="103"/>
      <c r="K1975" s="103"/>
      <c r="L1975" s="103"/>
      <c r="M1975" s="103">
        <v>245</v>
      </c>
      <c r="N1975" s="103">
        <v>10</v>
      </c>
      <c r="O1975" s="103"/>
      <c r="P1975" s="103"/>
      <c r="Q1975" s="103"/>
      <c r="R1975" s="103"/>
      <c r="S1975" s="103"/>
      <c r="T1975" s="103"/>
      <c r="U1975" s="103"/>
      <c r="V1975" s="103"/>
      <c r="W1975" s="103">
        <v>44</v>
      </c>
      <c r="X1975" s="103"/>
      <c r="Y1975" s="103"/>
      <c r="Z1975" s="103">
        <v>2</v>
      </c>
      <c r="AA1975" s="103">
        <v>13</v>
      </c>
      <c r="AB1975" s="103"/>
      <c r="AC1975" s="103">
        <v>179</v>
      </c>
      <c r="AD1975" s="103"/>
      <c r="AE1975" s="103"/>
      <c r="AF1975" s="103"/>
      <c r="AG1975" s="103"/>
      <c r="AH1975" s="103"/>
      <c r="AI1975" s="103">
        <v>11</v>
      </c>
      <c r="AJ1975" s="103">
        <v>6</v>
      </c>
      <c r="AK1975" s="103"/>
      <c r="AL1975" s="103"/>
      <c r="AM1975" s="103"/>
      <c r="AN1975" s="103">
        <v>251</v>
      </c>
      <c r="AO1975" s="103"/>
      <c r="AP1975" s="103">
        <v>4</v>
      </c>
      <c r="AQ1975" s="103"/>
      <c r="AR1975" s="103"/>
      <c r="AS1975" s="103"/>
      <c r="AT1975" s="103"/>
      <c r="AU1975" s="103"/>
      <c r="AV1975" s="103"/>
      <c r="AW1975" s="104" t="str">
        <f>HYPERLINK("http://www.openstreetmap.org/?mlat=34.6987&amp;mlon=43.6183&amp;zoom=12#map=12/34.6987/43.6183","Maplink1")</f>
        <v>Maplink1</v>
      </c>
      <c r="AX1975" s="104" t="str">
        <f>HYPERLINK("https://www.google.iq/maps/search/+34.6987,43.6183/@34.6987,43.6183,14z?hl=en","Maplink2")</f>
        <v>Maplink2</v>
      </c>
      <c r="AY1975" s="104" t="str">
        <f>HYPERLINK("http://www.bing.com/maps/?lvl=14&amp;sty=h&amp;cp=34.6987~43.6183&amp;sp=point.34.6987_43.6183","Maplink3")</f>
        <v>Maplink3</v>
      </c>
    </row>
    <row r="1976" spans="1:51" x14ac:dyDescent="0.2">
      <c r="A1976" s="102">
        <v>27231</v>
      </c>
      <c r="B1976" s="103" t="s">
        <v>36</v>
      </c>
      <c r="C1976" s="103" t="s">
        <v>112</v>
      </c>
      <c r="D1976" s="103" t="s">
        <v>3793</v>
      </c>
      <c r="E1976" s="103" t="s">
        <v>3794</v>
      </c>
      <c r="F1976" s="103">
        <v>34.6681781168</v>
      </c>
      <c r="G1976" s="103">
        <v>43.7329189855</v>
      </c>
      <c r="H1976" s="102">
        <v>250</v>
      </c>
      <c r="I1976" s="102">
        <v>1500</v>
      </c>
      <c r="J1976" s="103"/>
      <c r="K1976" s="103"/>
      <c r="L1976" s="103">
        <v>80</v>
      </c>
      <c r="M1976" s="103">
        <v>165</v>
      </c>
      <c r="N1976" s="103">
        <v>5</v>
      </c>
      <c r="O1976" s="103"/>
      <c r="P1976" s="103"/>
      <c r="Q1976" s="103"/>
      <c r="R1976" s="103"/>
      <c r="S1976" s="103"/>
      <c r="T1976" s="103"/>
      <c r="U1976" s="103"/>
      <c r="V1976" s="103"/>
      <c r="W1976" s="103"/>
      <c r="X1976" s="103"/>
      <c r="Y1976" s="103"/>
      <c r="Z1976" s="103"/>
      <c r="AA1976" s="103"/>
      <c r="AB1976" s="103"/>
      <c r="AC1976" s="103"/>
      <c r="AD1976" s="103"/>
      <c r="AE1976" s="103"/>
      <c r="AF1976" s="103"/>
      <c r="AG1976" s="103"/>
      <c r="AH1976" s="103"/>
      <c r="AI1976" s="103">
        <v>250</v>
      </c>
      <c r="AJ1976" s="103"/>
      <c r="AK1976" s="103"/>
      <c r="AL1976" s="103"/>
      <c r="AM1976" s="103"/>
      <c r="AN1976" s="103">
        <v>150</v>
      </c>
      <c r="AO1976" s="103">
        <v>100</v>
      </c>
      <c r="AP1976" s="103"/>
      <c r="AQ1976" s="103"/>
      <c r="AR1976" s="103"/>
      <c r="AS1976" s="103"/>
      <c r="AT1976" s="103"/>
      <c r="AU1976" s="103"/>
      <c r="AV1976" s="103"/>
      <c r="AW1976" s="104" t="str">
        <f>HYPERLINK("http://www.openstreetmap.org/?mlat=34.6682&amp;mlon=43.7329&amp;zoom=12#map=12/34.6682/43.7329","Maplink1")</f>
        <v>Maplink1</v>
      </c>
      <c r="AX1976" s="104" t="str">
        <f>HYPERLINK("https://www.google.iq/maps/search/+34.6682,43.7329/@34.6682,43.7329,14z?hl=en","Maplink2")</f>
        <v>Maplink2</v>
      </c>
      <c r="AY1976" s="104" t="str">
        <f>HYPERLINK("http://www.bing.com/maps/?lvl=14&amp;sty=h&amp;cp=34.6682~43.7329&amp;sp=point.34.6682_43.7329","Maplink3")</f>
        <v>Maplink3</v>
      </c>
    </row>
    <row r="1977" spans="1:51" x14ac:dyDescent="0.2">
      <c r="A1977" s="102">
        <v>27369</v>
      </c>
      <c r="B1977" s="103" t="s">
        <v>36</v>
      </c>
      <c r="C1977" s="103" t="s">
        <v>112</v>
      </c>
      <c r="D1977" s="103" t="s">
        <v>3795</v>
      </c>
      <c r="E1977" s="103" t="s">
        <v>3796</v>
      </c>
      <c r="F1977" s="103">
        <v>34.594373940499999</v>
      </c>
      <c r="G1977" s="103">
        <v>43.665869990399997</v>
      </c>
      <c r="H1977" s="102">
        <v>751</v>
      </c>
      <c r="I1977" s="102">
        <v>4506</v>
      </c>
      <c r="J1977" s="103"/>
      <c r="K1977" s="103"/>
      <c r="L1977" s="103"/>
      <c r="M1977" s="103">
        <v>721</v>
      </c>
      <c r="N1977" s="103">
        <v>30</v>
      </c>
      <c r="O1977" s="103"/>
      <c r="P1977" s="103"/>
      <c r="Q1977" s="103"/>
      <c r="R1977" s="103"/>
      <c r="S1977" s="103"/>
      <c r="T1977" s="103"/>
      <c r="U1977" s="103"/>
      <c r="V1977" s="103"/>
      <c r="W1977" s="103">
        <v>10</v>
      </c>
      <c r="X1977" s="103"/>
      <c r="Y1977" s="103"/>
      <c r="Z1977" s="103"/>
      <c r="AA1977" s="103">
        <v>72</v>
      </c>
      <c r="AB1977" s="103"/>
      <c r="AC1977" s="103">
        <v>490</v>
      </c>
      <c r="AD1977" s="103"/>
      <c r="AE1977" s="103"/>
      <c r="AF1977" s="103"/>
      <c r="AG1977" s="103">
        <v>9</v>
      </c>
      <c r="AH1977" s="103"/>
      <c r="AI1977" s="103">
        <v>145</v>
      </c>
      <c r="AJ1977" s="103">
        <v>25</v>
      </c>
      <c r="AK1977" s="103"/>
      <c r="AL1977" s="103"/>
      <c r="AM1977" s="103"/>
      <c r="AN1977" s="103">
        <v>619</v>
      </c>
      <c r="AO1977" s="103">
        <v>117</v>
      </c>
      <c r="AP1977" s="103">
        <v>15</v>
      </c>
      <c r="AQ1977" s="103"/>
      <c r="AR1977" s="103"/>
      <c r="AS1977" s="103"/>
      <c r="AT1977" s="103"/>
      <c r="AU1977" s="103"/>
      <c r="AV1977" s="103"/>
      <c r="AW1977" s="104" t="str">
        <f>HYPERLINK("http://www.openstreetmap.org/?mlat=34.5944&amp;mlon=43.6659&amp;zoom=12#map=12/34.5944/43.6659","Maplink1")</f>
        <v>Maplink1</v>
      </c>
      <c r="AX1977" s="104" t="str">
        <f>HYPERLINK("https://www.google.iq/maps/search/+34.5944,43.6659/@34.5944,43.6659,14z?hl=en","Maplink2")</f>
        <v>Maplink2</v>
      </c>
      <c r="AY1977" s="104" t="str">
        <f>HYPERLINK("http://www.bing.com/maps/?lvl=14&amp;sty=h&amp;cp=34.5944~43.6659&amp;sp=point.34.5944_43.6659","Maplink3")</f>
        <v>Maplink3</v>
      </c>
    </row>
    <row r="1978" spans="1:51" x14ac:dyDescent="0.2">
      <c r="A1978" s="102">
        <v>20631</v>
      </c>
      <c r="B1978" s="103" t="s">
        <v>36</v>
      </c>
      <c r="C1978" s="103" t="s">
        <v>112</v>
      </c>
      <c r="D1978" s="103" t="s">
        <v>3787</v>
      </c>
      <c r="E1978" s="103" t="s">
        <v>3788</v>
      </c>
      <c r="F1978" s="103">
        <v>34.693673202100001</v>
      </c>
      <c r="G1978" s="103">
        <v>43.614340431099997</v>
      </c>
      <c r="H1978" s="102">
        <v>43</v>
      </c>
      <c r="I1978" s="102">
        <v>258</v>
      </c>
      <c r="J1978" s="103"/>
      <c r="K1978" s="103"/>
      <c r="L1978" s="103"/>
      <c r="M1978" s="103">
        <v>43</v>
      </c>
      <c r="N1978" s="103"/>
      <c r="O1978" s="103"/>
      <c r="P1978" s="103"/>
      <c r="Q1978" s="103"/>
      <c r="R1978" s="103"/>
      <c r="S1978" s="103"/>
      <c r="T1978" s="103"/>
      <c r="U1978" s="103"/>
      <c r="V1978" s="103"/>
      <c r="W1978" s="103"/>
      <c r="X1978" s="103"/>
      <c r="Y1978" s="103"/>
      <c r="Z1978" s="103"/>
      <c r="AA1978" s="103">
        <v>8</v>
      </c>
      <c r="AB1978" s="103"/>
      <c r="AC1978" s="103">
        <v>35</v>
      </c>
      <c r="AD1978" s="103"/>
      <c r="AE1978" s="103"/>
      <c r="AF1978" s="103"/>
      <c r="AG1978" s="103"/>
      <c r="AH1978" s="103"/>
      <c r="AI1978" s="103"/>
      <c r="AJ1978" s="103"/>
      <c r="AK1978" s="103"/>
      <c r="AL1978" s="103"/>
      <c r="AM1978" s="103"/>
      <c r="AN1978" s="103">
        <v>43</v>
      </c>
      <c r="AO1978" s="103"/>
      <c r="AP1978" s="103"/>
      <c r="AQ1978" s="103"/>
      <c r="AR1978" s="103"/>
      <c r="AS1978" s="103"/>
      <c r="AT1978" s="103"/>
      <c r="AU1978" s="103"/>
      <c r="AV1978" s="103"/>
      <c r="AW1978" s="104" t="str">
        <f>HYPERLINK("http://www.openstreetmap.org/?mlat=34.6937&amp;mlon=43.6143&amp;zoom=12#map=12/34.6937/43.6143","Maplink1")</f>
        <v>Maplink1</v>
      </c>
      <c r="AX1978" s="104" t="str">
        <f>HYPERLINK("https://www.google.iq/maps/search/+34.6937,43.6143/@34.6937,43.6143,14z?hl=en","Maplink2")</f>
        <v>Maplink2</v>
      </c>
      <c r="AY1978" s="104" t="str">
        <f>HYPERLINK("http://www.bing.com/maps/?lvl=14&amp;sty=h&amp;cp=34.6937~43.6143&amp;sp=point.34.6937_43.6143","Maplink3")</f>
        <v>Maplink3</v>
      </c>
    </row>
    <row r="1979" spans="1:51" x14ac:dyDescent="0.2">
      <c r="A1979" s="102">
        <v>22468</v>
      </c>
      <c r="B1979" s="103" t="s">
        <v>36</v>
      </c>
      <c r="C1979" s="103" t="s">
        <v>112</v>
      </c>
      <c r="D1979" s="103" t="s">
        <v>3781</v>
      </c>
      <c r="E1979" s="103" t="s">
        <v>3782</v>
      </c>
      <c r="F1979" s="103">
        <v>34.590604122199998</v>
      </c>
      <c r="G1979" s="103">
        <v>43.672378590900003</v>
      </c>
      <c r="H1979" s="102">
        <v>1302</v>
      </c>
      <c r="I1979" s="102">
        <v>7812</v>
      </c>
      <c r="J1979" s="103"/>
      <c r="K1979" s="103"/>
      <c r="L1979" s="103">
        <v>58</v>
      </c>
      <c r="M1979" s="103">
        <v>1244</v>
      </c>
      <c r="N1979" s="103"/>
      <c r="O1979" s="103"/>
      <c r="P1979" s="103"/>
      <c r="Q1979" s="103"/>
      <c r="R1979" s="103"/>
      <c r="S1979" s="103"/>
      <c r="T1979" s="103"/>
      <c r="U1979" s="103"/>
      <c r="V1979" s="103"/>
      <c r="W1979" s="103">
        <v>23</v>
      </c>
      <c r="X1979" s="103"/>
      <c r="Y1979" s="103"/>
      <c r="Z1979" s="103"/>
      <c r="AA1979" s="103">
        <v>377</v>
      </c>
      <c r="AB1979" s="103"/>
      <c r="AC1979" s="103">
        <v>753</v>
      </c>
      <c r="AD1979" s="103"/>
      <c r="AE1979" s="103"/>
      <c r="AF1979" s="103"/>
      <c r="AG1979" s="103">
        <v>3</v>
      </c>
      <c r="AH1979" s="103"/>
      <c r="AI1979" s="103">
        <v>44</v>
      </c>
      <c r="AJ1979" s="103">
        <v>102</v>
      </c>
      <c r="AK1979" s="103"/>
      <c r="AL1979" s="103"/>
      <c r="AM1979" s="103"/>
      <c r="AN1979" s="103">
        <v>900</v>
      </c>
      <c r="AO1979" s="103">
        <v>389</v>
      </c>
      <c r="AP1979" s="103">
        <v>13</v>
      </c>
      <c r="AQ1979" s="103"/>
      <c r="AR1979" s="103"/>
      <c r="AS1979" s="103"/>
      <c r="AT1979" s="103"/>
      <c r="AU1979" s="103"/>
      <c r="AV1979" s="103"/>
      <c r="AW1979" s="104" t="str">
        <f>HYPERLINK("http://www.openstreetmap.org/?mlat=34.5906&amp;mlon=43.6724&amp;zoom=12#map=12/34.5906/43.6724","Maplink1")</f>
        <v>Maplink1</v>
      </c>
      <c r="AX1979" s="104" t="str">
        <f>HYPERLINK("https://www.google.iq/maps/search/+34.5906,43.6724/@34.5906,43.6724,14z?hl=en","Maplink2")</f>
        <v>Maplink2</v>
      </c>
      <c r="AY1979" s="104" t="str">
        <f>HYPERLINK("http://www.bing.com/maps/?lvl=14&amp;sty=h&amp;cp=34.5906~43.6724&amp;sp=point.34.5906_43.6724","Maplink3")</f>
        <v>Maplink3</v>
      </c>
    </row>
    <row r="1980" spans="1:51" x14ac:dyDescent="0.2">
      <c r="A1980" s="102">
        <v>20612</v>
      </c>
      <c r="B1980" s="103" t="s">
        <v>36</v>
      </c>
      <c r="C1980" s="103" t="s">
        <v>112</v>
      </c>
      <c r="D1980" s="103" t="s">
        <v>3807</v>
      </c>
      <c r="E1980" s="103" t="s">
        <v>3808</v>
      </c>
      <c r="F1980" s="103">
        <v>34.755675650699999</v>
      </c>
      <c r="G1980" s="103">
        <v>43.669097506</v>
      </c>
      <c r="H1980" s="102">
        <v>110</v>
      </c>
      <c r="I1980" s="102">
        <v>660</v>
      </c>
      <c r="J1980" s="103">
        <v>4</v>
      </c>
      <c r="K1980" s="103"/>
      <c r="L1980" s="103"/>
      <c r="M1980" s="103">
        <v>96</v>
      </c>
      <c r="N1980" s="103">
        <v>10</v>
      </c>
      <c r="O1980" s="103"/>
      <c r="P1980" s="103"/>
      <c r="Q1980" s="103"/>
      <c r="R1980" s="103"/>
      <c r="S1980" s="103"/>
      <c r="T1980" s="103"/>
      <c r="U1980" s="103"/>
      <c r="V1980" s="103"/>
      <c r="W1980" s="103"/>
      <c r="X1980" s="103"/>
      <c r="Y1980" s="103"/>
      <c r="Z1980" s="103"/>
      <c r="AA1980" s="103"/>
      <c r="AB1980" s="103"/>
      <c r="AC1980" s="103">
        <v>110</v>
      </c>
      <c r="AD1980" s="103"/>
      <c r="AE1980" s="103"/>
      <c r="AF1980" s="103"/>
      <c r="AG1980" s="103"/>
      <c r="AH1980" s="103"/>
      <c r="AI1980" s="103"/>
      <c r="AJ1980" s="103"/>
      <c r="AK1980" s="103"/>
      <c r="AL1980" s="103"/>
      <c r="AM1980" s="103"/>
      <c r="AN1980" s="103">
        <v>10</v>
      </c>
      <c r="AO1980" s="103">
        <v>100</v>
      </c>
      <c r="AP1980" s="103"/>
      <c r="AQ1980" s="103"/>
      <c r="AR1980" s="103"/>
      <c r="AS1980" s="103"/>
      <c r="AT1980" s="103"/>
      <c r="AU1980" s="103"/>
      <c r="AV1980" s="103"/>
      <c r="AW1980" s="104" t="str">
        <f>HYPERLINK("http://www.openstreetmap.org/?mlat=34.7557&amp;mlon=43.6691&amp;zoom=12#map=12/34.7557/43.6691","Maplink1")</f>
        <v>Maplink1</v>
      </c>
      <c r="AX1980" s="104" t="str">
        <f>HYPERLINK("https://www.google.iq/maps/search/+34.7557,43.6691/@34.7557,43.6691,14z?hl=en","Maplink2")</f>
        <v>Maplink2</v>
      </c>
      <c r="AY1980" s="104" t="str">
        <f>HYPERLINK("http://www.bing.com/maps/?lvl=14&amp;sty=h&amp;cp=34.7557~43.6691&amp;sp=point.34.7557_43.6691","Maplink3")</f>
        <v>Maplink3</v>
      </c>
    </row>
    <row r="1981" spans="1:51" x14ac:dyDescent="0.2">
      <c r="A1981" s="102">
        <v>23918</v>
      </c>
      <c r="B1981" s="103" t="s">
        <v>36</v>
      </c>
      <c r="C1981" s="103" t="s">
        <v>112</v>
      </c>
      <c r="D1981" s="103" t="s">
        <v>3809</v>
      </c>
      <c r="E1981" s="103" t="s">
        <v>3810</v>
      </c>
      <c r="F1981" s="103">
        <v>34.622505367700001</v>
      </c>
      <c r="G1981" s="103">
        <v>43.6737766396</v>
      </c>
      <c r="H1981" s="102">
        <v>755</v>
      </c>
      <c r="I1981" s="102">
        <v>4530</v>
      </c>
      <c r="J1981" s="103"/>
      <c r="K1981" s="103"/>
      <c r="L1981" s="103">
        <v>200</v>
      </c>
      <c r="M1981" s="103">
        <v>555</v>
      </c>
      <c r="N1981" s="103"/>
      <c r="O1981" s="103"/>
      <c r="P1981" s="103"/>
      <c r="Q1981" s="103"/>
      <c r="R1981" s="103"/>
      <c r="S1981" s="103"/>
      <c r="T1981" s="103"/>
      <c r="U1981" s="103"/>
      <c r="V1981" s="103"/>
      <c r="W1981" s="103">
        <v>28</v>
      </c>
      <c r="X1981" s="103"/>
      <c r="Y1981" s="103">
        <v>2</v>
      </c>
      <c r="Z1981" s="103"/>
      <c r="AA1981" s="103">
        <v>200</v>
      </c>
      <c r="AB1981" s="103"/>
      <c r="AC1981" s="103">
        <v>206</v>
      </c>
      <c r="AD1981" s="103"/>
      <c r="AE1981" s="103"/>
      <c r="AF1981" s="103"/>
      <c r="AG1981" s="103"/>
      <c r="AH1981" s="103"/>
      <c r="AI1981" s="103">
        <v>211</v>
      </c>
      <c r="AJ1981" s="103">
        <v>108</v>
      </c>
      <c r="AK1981" s="103"/>
      <c r="AL1981" s="103"/>
      <c r="AM1981" s="103"/>
      <c r="AN1981" s="103"/>
      <c r="AO1981" s="103">
        <v>502</v>
      </c>
      <c r="AP1981" s="103">
        <v>253</v>
      </c>
      <c r="AQ1981" s="103"/>
      <c r="AR1981" s="103"/>
      <c r="AS1981" s="103"/>
      <c r="AT1981" s="103"/>
      <c r="AU1981" s="103"/>
      <c r="AV1981" s="103"/>
      <c r="AW1981" s="104" t="str">
        <f>HYPERLINK("http://www.openstreetmap.org/?mlat=34.6225&amp;mlon=43.6738&amp;zoom=12#map=12/34.6225/43.6738","Maplink1")</f>
        <v>Maplink1</v>
      </c>
      <c r="AX1981" s="104" t="str">
        <f>HYPERLINK("https://www.google.iq/maps/search/+34.6225,43.6738/@34.6225,43.6738,14z?hl=en","Maplink2")</f>
        <v>Maplink2</v>
      </c>
      <c r="AY1981" s="104" t="str">
        <f>HYPERLINK("http://www.bing.com/maps/?lvl=14&amp;sty=h&amp;cp=34.6225~43.6738&amp;sp=point.34.6225_43.6738","Maplink3")</f>
        <v>Maplink3</v>
      </c>
    </row>
    <row r="1982" spans="1:51" x14ac:dyDescent="0.2">
      <c r="A1982" s="102">
        <v>22966</v>
      </c>
      <c r="B1982" s="103" t="s">
        <v>36</v>
      </c>
      <c r="C1982" s="103" t="s">
        <v>112</v>
      </c>
      <c r="D1982" s="103" t="s">
        <v>3811</v>
      </c>
      <c r="E1982" s="103" t="s">
        <v>3812</v>
      </c>
      <c r="F1982" s="103">
        <v>34.592954507100004</v>
      </c>
      <c r="G1982" s="103">
        <v>43.681806251399998</v>
      </c>
      <c r="H1982" s="102">
        <v>150</v>
      </c>
      <c r="I1982" s="102">
        <v>900</v>
      </c>
      <c r="J1982" s="103"/>
      <c r="K1982" s="103"/>
      <c r="L1982" s="103"/>
      <c r="M1982" s="103">
        <v>150</v>
      </c>
      <c r="N1982" s="103"/>
      <c r="O1982" s="103"/>
      <c r="P1982" s="103"/>
      <c r="Q1982" s="103"/>
      <c r="R1982" s="103"/>
      <c r="S1982" s="103"/>
      <c r="T1982" s="103"/>
      <c r="U1982" s="103"/>
      <c r="V1982" s="103"/>
      <c r="W1982" s="103"/>
      <c r="X1982" s="103"/>
      <c r="Y1982" s="103"/>
      <c r="Z1982" s="103"/>
      <c r="AA1982" s="103"/>
      <c r="AB1982" s="103"/>
      <c r="AC1982" s="103">
        <v>2</v>
      </c>
      <c r="AD1982" s="103"/>
      <c r="AE1982" s="103"/>
      <c r="AF1982" s="103"/>
      <c r="AG1982" s="103"/>
      <c r="AH1982" s="103"/>
      <c r="AI1982" s="103">
        <v>148</v>
      </c>
      <c r="AJ1982" s="103"/>
      <c r="AK1982" s="103"/>
      <c r="AL1982" s="103"/>
      <c r="AM1982" s="103"/>
      <c r="AN1982" s="103">
        <v>71</v>
      </c>
      <c r="AO1982" s="103">
        <v>50</v>
      </c>
      <c r="AP1982" s="103">
        <v>29</v>
      </c>
      <c r="AQ1982" s="103"/>
      <c r="AR1982" s="103"/>
      <c r="AS1982" s="103"/>
      <c r="AT1982" s="103"/>
      <c r="AU1982" s="103"/>
      <c r="AV1982" s="103"/>
      <c r="AW1982" s="104" t="str">
        <f>HYPERLINK("http://www.openstreetmap.org/?mlat=34.593&amp;mlon=43.6818&amp;zoom=12#map=12/34.593/43.6818","Maplink1")</f>
        <v>Maplink1</v>
      </c>
      <c r="AX1982" s="104" t="str">
        <f>HYPERLINK("https://www.google.iq/maps/search/+34.593,43.6818/@34.593,43.6818,14z?hl=en","Maplink2")</f>
        <v>Maplink2</v>
      </c>
      <c r="AY1982" s="104" t="str">
        <f>HYPERLINK("http://www.bing.com/maps/?lvl=14&amp;sty=h&amp;cp=34.593~43.6818&amp;sp=point.34.593_43.6818","Maplink3")</f>
        <v>Maplink3</v>
      </c>
    </row>
    <row r="1983" spans="1:51" x14ac:dyDescent="0.2">
      <c r="A1983" s="102">
        <v>25950</v>
      </c>
      <c r="B1983" s="103" t="s">
        <v>36</v>
      </c>
      <c r="C1983" s="103" t="s">
        <v>112</v>
      </c>
      <c r="D1983" s="103" t="s">
        <v>3813</v>
      </c>
      <c r="E1983" s="103" t="s">
        <v>3814</v>
      </c>
      <c r="F1983" s="103">
        <v>34.819690840699998</v>
      </c>
      <c r="G1983" s="103">
        <v>43.5777288906</v>
      </c>
      <c r="H1983" s="102">
        <v>530</v>
      </c>
      <c r="I1983" s="102">
        <v>3180</v>
      </c>
      <c r="J1983" s="103"/>
      <c r="K1983" s="103"/>
      <c r="L1983" s="103"/>
      <c r="M1983" s="103">
        <v>462</v>
      </c>
      <c r="N1983" s="103">
        <v>68</v>
      </c>
      <c r="O1983" s="103"/>
      <c r="P1983" s="103"/>
      <c r="Q1983" s="103"/>
      <c r="R1983" s="103"/>
      <c r="S1983" s="103"/>
      <c r="T1983" s="103"/>
      <c r="U1983" s="103"/>
      <c r="V1983" s="103"/>
      <c r="W1983" s="103"/>
      <c r="X1983" s="103"/>
      <c r="Y1983" s="103"/>
      <c r="Z1983" s="103"/>
      <c r="AA1983" s="103"/>
      <c r="AB1983" s="103"/>
      <c r="AC1983" s="103">
        <v>265</v>
      </c>
      <c r="AD1983" s="103"/>
      <c r="AE1983" s="103"/>
      <c r="AF1983" s="103"/>
      <c r="AG1983" s="103"/>
      <c r="AH1983" s="103"/>
      <c r="AI1983" s="103">
        <v>265</v>
      </c>
      <c r="AJ1983" s="103"/>
      <c r="AK1983" s="103"/>
      <c r="AL1983" s="103"/>
      <c r="AM1983" s="103"/>
      <c r="AN1983" s="103">
        <v>100</v>
      </c>
      <c r="AO1983" s="103">
        <v>200</v>
      </c>
      <c r="AP1983" s="103">
        <v>230</v>
      </c>
      <c r="AQ1983" s="103"/>
      <c r="AR1983" s="103"/>
      <c r="AS1983" s="103"/>
      <c r="AT1983" s="103"/>
      <c r="AU1983" s="103"/>
      <c r="AV1983" s="103"/>
      <c r="AW1983" s="104" t="str">
        <f>HYPERLINK("http://www.openstreetmap.org/?mlat=34.8197&amp;mlon=43.5777&amp;zoom=12#map=12/34.8197/43.5777","Maplink1")</f>
        <v>Maplink1</v>
      </c>
      <c r="AX1983" s="104" t="str">
        <f>HYPERLINK("https://www.google.iq/maps/search/+34.8197,43.5777/@34.8197,43.5777,14z?hl=en","Maplink2")</f>
        <v>Maplink2</v>
      </c>
      <c r="AY1983" s="104" t="str">
        <f>HYPERLINK("http://www.bing.com/maps/?lvl=14&amp;sty=h&amp;cp=34.8197~43.5777&amp;sp=point.34.8197_43.5777","Maplink3")</f>
        <v>Maplink3</v>
      </c>
    </row>
    <row r="1984" spans="1:51" x14ac:dyDescent="0.2">
      <c r="A1984" s="102">
        <v>20624</v>
      </c>
      <c r="B1984" s="103" t="s">
        <v>36</v>
      </c>
      <c r="C1984" s="103" t="s">
        <v>112</v>
      </c>
      <c r="D1984" s="103" t="s">
        <v>3815</v>
      </c>
      <c r="E1984" s="103" t="s">
        <v>3816</v>
      </c>
      <c r="F1984" s="103">
        <v>34.583683661199998</v>
      </c>
      <c r="G1984" s="103">
        <v>43.688332987899997</v>
      </c>
      <c r="H1984" s="102">
        <v>415</v>
      </c>
      <c r="I1984" s="102">
        <v>2490</v>
      </c>
      <c r="J1984" s="103"/>
      <c r="K1984" s="103"/>
      <c r="L1984" s="103">
        <v>80</v>
      </c>
      <c r="M1984" s="103">
        <v>335</v>
      </c>
      <c r="N1984" s="103"/>
      <c r="O1984" s="103"/>
      <c r="P1984" s="103"/>
      <c r="Q1984" s="103"/>
      <c r="R1984" s="103"/>
      <c r="S1984" s="103"/>
      <c r="T1984" s="103"/>
      <c r="U1984" s="103"/>
      <c r="V1984" s="103"/>
      <c r="W1984" s="103">
        <v>154</v>
      </c>
      <c r="X1984" s="103"/>
      <c r="Y1984" s="103"/>
      <c r="Z1984" s="103"/>
      <c r="AA1984" s="103">
        <v>103</v>
      </c>
      <c r="AB1984" s="103"/>
      <c r="AC1984" s="103">
        <v>94</v>
      </c>
      <c r="AD1984" s="103"/>
      <c r="AE1984" s="103"/>
      <c r="AF1984" s="103"/>
      <c r="AG1984" s="103"/>
      <c r="AH1984" s="103"/>
      <c r="AI1984" s="103">
        <v>39</v>
      </c>
      <c r="AJ1984" s="103">
        <v>25</v>
      </c>
      <c r="AK1984" s="103"/>
      <c r="AL1984" s="103"/>
      <c r="AM1984" s="103"/>
      <c r="AN1984" s="103">
        <v>389</v>
      </c>
      <c r="AO1984" s="103">
        <v>26</v>
      </c>
      <c r="AP1984" s="103"/>
      <c r="AQ1984" s="103"/>
      <c r="AR1984" s="103"/>
      <c r="AS1984" s="103"/>
      <c r="AT1984" s="103"/>
      <c r="AU1984" s="103"/>
      <c r="AV1984" s="103"/>
      <c r="AW1984" s="104" t="str">
        <f>HYPERLINK("http://www.openstreetmap.org/?mlat=34.5837&amp;mlon=43.6883&amp;zoom=12#map=12/34.5837/43.6883","Maplink1")</f>
        <v>Maplink1</v>
      </c>
      <c r="AX1984" s="104" t="str">
        <f>HYPERLINK("https://www.google.iq/maps/search/+34.5837,43.6883/@34.5837,43.6883,14z?hl=en","Maplink2")</f>
        <v>Maplink2</v>
      </c>
      <c r="AY1984" s="104" t="str">
        <f>HYPERLINK("http://www.bing.com/maps/?lvl=14&amp;sty=h&amp;cp=34.5837~43.6883&amp;sp=point.34.5837_43.6883","Maplink3")</f>
        <v>Maplink3</v>
      </c>
    </row>
    <row r="1985" spans="1:51" x14ac:dyDescent="0.2">
      <c r="A1985" s="102">
        <v>25949</v>
      </c>
      <c r="B1985" s="103" t="s">
        <v>36</v>
      </c>
      <c r="C1985" s="103" t="s">
        <v>112</v>
      </c>
      <c r="D1985" s="103" t="s">
        <v>3767</v>
      </c>
      <c r="E1985" s="103" t="s">
        <v>3768</v>
      </c>
      <c r="F1985" s="103">
        <v>34.892082314</v>
      </c>
      <c r="G1985" s="103">
        <v>43.548816891800001</v>
      </c>
      <c r="H1985" s="102">
        <v>400</v>
      </c>
      <c r="I1985" s="102">
        <v>2400</v>
      </c>
      <c r="J1985" s="103"/>
      <c r="K1985" s="103"/>
      <c r="L1985" s="103"/>
      <c r="M1985" s="103">
        <v>373</v>
      </c>
      <c r="N1985" s="103">
        <v>27</v>
      </c>
      <c r="O1985" s="103"/>
      <c r="P1985" s="103"/>
      <c r="Q1985" s="103"/>
      <c r="R1985" s="103"/>
      <c r="S1985" s="103"/>
      <c r="T1985" s="103"/>
      <c r="U1985" s="103"/>
      <c r="V1985" s="103"/>
      <c r="W1985" s="103"/>
      <c r="X1985" s="103"/>
      <c r="Y1985" s="103"/>
      <c r="Z1985" s="103"/>
      <c r="AA1985" s="103"/>
      <c r="AB1985" s="103"/>
      <c r="AC1985" s="103">
        <v>200</v>
      </c>
      <c r="AD1985" s="103"/>
      <c r="AE1985" s="103"/>
      <c r="AF1985" s="103"/>
      <c r="AG1985" s="103"/>
      <c r="AH1985" s="103"/>
      <c r="AI1985" s="103">
        <v>200</v>
      </c>
      <c r="AJ1985" s="103"/>
      <c r="AK1985" s="103"/>
      <c r="AL1985" s="103"/>
      <c r="AM1985" s="103"/>
      <c r="AN1985" s="103"/>
      <c r="AO1985" s="103"/>
      <c r="AP1985" s="103">
        <v>400</v>
      </c>
      <c r="AQ1985" s="103"/>
      <c r="AR1985" s="103"/>
      <c r="AS1985" s="103"/>
      <c r="AT1985" s="103"/>
      <c r="AU1985" s="103"/>
      <c r="AV1985" s="103"/>
      <c r="AW1985" s="104" t="str">
        <f>HYPERLINK("http://www.openstreetmap.org/?mlat=34.8921&amp;mlon=43.5488&amp;zoom=12#map=12/34.8921/43.5488","Maplink1")</f>
        <v>Maplink1</v>
      </c>
      <c r="AX1985" s="104" t="str">
        <f>HYPERLINK("https://www.google.iq/maps/search/+34.8921,43.5488/@34.8921,43.5488,14z?hl=en","Maplink2")</f>
        <v>Maplink2</v>
      </c>
      <c r="AY1985" s="104" t="str">
        <f>HYPERLINK("http://www.bing.com/maps/?lvl=14&amp;sty=h&amp;cp=34.8921~43.5488&amp;sp=point.34.8921_43.5488","Maplink3")</f>
        <v>Maplink3</v>
      </c>
    </row>
    <row r="1986" spans="1:51" x14ac:dyDescent="0.2">
      <c r="A1986" s="102">
        <v>22331</v>
      </c>
      <c r="B1986" s="103" t="s">
        <v>36</v>
      </c>
      <c r="C1986" s="103" t="s">
        <v>112</v>
      </c>
      <c r="D1986" s="103" t="s">
        <v>3769</v>
      </c>
      <c r="E1986" s="103" t="s">
        <v>3770</v>
      </c>
      <c r="F1986" s="103">
        <v>34.611242688300003</v>
      </c>
      <c r="G1986" s="103">
        <v>43.674090290400002</v>
      </c>
      <c r="H1986" s="102">
        <v>507</v>
      </c>
      <c r="I1986" s="102">
        <v>3042</v>
      </c>
      <c r="J1986" s="103"/>
      <c r="K1986" s="103"/>
      <c r="L1986" s="103">
        <v>23</v>
      </c>
      <c r="M1986" s="103">
        <v>484</v>
      </c>
      <c r="N1986" s="103"/>
      <c r="O1986" s="103"/>
      <c r="P1986" s="103"/>
      <c r="Q1986" s="103"/>
      <c r="R1986" s="103"/>
      <c r="S1986" s="103"/>
      <c r="T1986" s="103"/>
      <c r="U1986" s="103"/>
      <c r="V1986" s="103"/>
      <c r="W1986" s="103">
        <v>6</v>
      </c>
      <c r="X1986" s="103"/>
      <c r="Y1986" s="103"/>
      <c r="Z1986" s="103"/>
      <c r="AA1986" s="103">
        <v>117</v>
      </c>
      <c r="AB1986" s="103"/>
      <c r="AC1986" s="103">
        <v>257</v>
      </c>
      <c r="AD1986" s="103"/>
      <c r="AE1986" s="103"/>
      <c r="AF1986" s="103"/>
      <c r="AG1986" s="103"/>
      <c r="AH1986" s="103"/>
      <c r="AI1986" s="103">
        <v>52</v>
      </c>
      <c r="AJ1986" s="103">
        <v>75</v>
      </c>
      <c r="AK1986" s="103"/>
      <c r="AL1986" s="103"/>
      <c r="AM1986" s="103"/>
      <c r="AN1986" s="103">
        <v>5</v>
      </c>
      <c r="AO1986" s="103">
        <v>430</v>
      </c>
      <c r="AP1986" s="103">
        <v>72</v>
      </c>
      <c r="AQ1986" s="103"/>
      <c r="AR1986" s="103"/>
      <c r="AS1986" s="103"/>
      <c r="AT1986" s="103"/>
      <c r="AU1986" s="103"/>
      <c r="AV1986" s="103"/>
      <c r="AW1986" s="104" t="str">
        <f>HYPERLINK("http://www.openstreetmap.org/?mlat=34.6112&amp;mlon=43.6741&amp;zoom=12#map=12/34.6112/43.6741","Maplink1")</f>
        <v>Maplink1</v>
      </c>
      <c r="AX1986" s="104" t="str">
        <f>HYPERLINK("https://www.google.iq/maps/search/+34.6112,43.6741/@34.6112,43.6741,14z?hl=en","Maplink2")</f>
        <v>Maplink2</v>
      </c>
      <c r="AY1986" s="104" t="str">
        <f>HYPERLINK("http://www.bing.com/maps/?lvl=14&amp;sty=h&amp;cp=34.6112~43.6741&amp;sp=point.34.6112_43.6741","Maplink3")</f>
        <v>Maplink3</v>
      </c>
    </row>
    <row r="1987" spans="1:51" x14ac:dyDescent="0.2">
      <c r="A1987" s="102">
        <v>22965</v>
      </c>
      <c r="B1987" s="103" t="s">
        <v>36</v>
      </c>
      <c r="C1987" s="103" t="s">
        <v>112</v>
      </c>
      <c r="D1987" s="103" t="s">
        <v>3771</v>
      </c>
      <c r="E1987" s="103" t="s">
        <v>3772</v>
      </c>
      <c r="F1987" s="103">
        <v>34.603648683999999</v>
      </c>
      <c r="G1987" s="103">
        <v>43.689968129599997</v>
      </c>
      <c r="H1987" s="102">
        <v>130</v>
      </c>
      <c r="I1987" s="102">
        <v>780</v>
      </c>
      <c r="J1987" s="103"/>
      <c r="K1987" s="103"/>
      <c r="L1987" s="103">
        <v>34</v>
      </c>
      <c r="M1987" s="103">
        <v>46</v>
      </c>
      <c r="N1987" s="103">
        <v>50</v>
      </c>
      <c r="O1987" s="103"/>
      <c r="P1987" s="103"/>
      <c r="Q1987" s="103"/>
      <c r="R1987" s="103"/>
      <c r="S1987" s="103"/>
      <c r="T1987" s="103"/>
      <c r="U1987" s="103"/>
      <c r="V1987" s="103"/>
      <c r="W1987" s="103">
        <v>8</v>
      </c>
      <c r="X1987" s="103"/>
      <c r="Y1987" s="103"/>
      <c r="Z1987" s="103"/>
      <c r="AA1987" s="103"/>
      <c r="AB1987" s="103"/>
      <c r="AC1987" s="103">
        <v>46</v>
      </c>
      <c r="AD1987" s="103"/>
      <c r="AE1987" s="103"/>
      <c r="AF1987" s="103"/>
      <c r="AG1987" s="103"/>
      <c r="AH1987" s="103"/>
      <c r="AI1987" s="103">
        <v>76</v>
      </c>
      <c r="AJ1987" s="103"/>
      <c r="AK1987" s="103"/>
      <c r="AL1987" s="103"/>
      <c r="AM1987" s="103"/>
      <c r="AN1987" s="103">
        <v>30</v>
      </c>
      <c r="AO1987" s="103">
        <v>40</v>
      </c>
      <c r="AP1987" s="103">
        <v>60</v>
      </c>
      <c r="AQ1987" s="103"/>
      <c r="AR1987" s="103"/>
      <c r="AS1987" s="103"/>
      <c r="AT1987" s="103"/>
      <c r="AU1987" s="103"/>
      <c r="AV1987" s="103"/>
      <c r="AW1987" s="104" t="str">
        <f>HYPERLINK("http://www.openstreetmap.org/?mlat=34.6036&amp;mlon=43.69&amp;zoom=12#map=12/34.6036/43.69","Maplink1")</f>
        <v>Maplink1</v>
      </c>
      <c r="AX1987" s="104" t="str">
        <f>HYPERLINK("https://www.google.iq/maps/search/+34.6036,43.69/@34.6036,43.69,14z?hl=en","Maplink2")</f>
        <v>Maplink2</v>
      </c>
      <c r="AY1987" s="104" t="str">
        <f>HYPERLINK("http://www.bing.com/maps/?lvl=14&amp;sty=h&amp;cp=34.6036~43.69&amp;sp=point.34.6036_43.69","Maplink3")</f>
        <v>Maplink3</v>
      </c>
    </row>
    <row r="1988" spans="1:51" x14ac:dyDescent="0.2">
      <c r="A1988" s="102">
        <v>27367</v>
      </c>
      <c r="B1988" s="103" t="s">
        <v>36</v>
      </c>
      <c r="C1988" s="103" t="s">
        <v>112</v>
      </c>
      <c r="D1988" s="103" t="s">
        <v>3779</v>
      </c>
      <c r="E1988" s="103" t="s">
        <v>3780</v>
      </c>
      <c r="F1988" s="103">
        <v>34.584634210899999</v>
      </c>
      <c r="G1988" s="103">
        <v>43.682551737899999</v>
      </c>
      <c r="H1988" s="102">
        <v>370</v>
      </c>
      <c r="I1988" s="102">
        <v>2220</v>
      </c>
      <c r="J1988" s="103"/>
      <c r="K1988" s="103"/>
      <c r="L1988" s="103">
        <v>22</v>
      </c>
      <c r="M1988" s="103">
        <v>348</v>
      </c>
      <c r="N1988" s="103"/>
      <c r="O1988" s="103"/>
      <c r="P1988" s="103"/>
      <c r="Q1988" s="103"/>
      <c r="R1988" s="103"/>
      <c r="S1988" s="103"/>
      <c r="T1988" s="103"/>
      <c r="U1988" s="103"/>
      <c r="V1988" s="103"/>
      <c r="W1988" s="103">
        <v>33</v>
      </c>
      <c r="X1988" s="103"/>
      <c r="Y1988" s="103"/>
      <c r="Z1988" s="103"/>
      <c r="AA1988" s="103">
        <v>38</v>
      </c>
      <c r="AB1988" s="103"/>
      <c r="AC1988" s="103">
        <v>85</v>
      </c>
      <c r="AD1988" s="103"/>
      <c r="AE1988" s="103"/>
      <c r="AF1988" s="103"/>
      <c r="AG1988" s="103"/>
      <c r="AH1988" s="103"/>
      <c r="AI1988" s="103">
        <v>214</v>
      </c>
      <c r="AJ1988" s="103"/>
      <c r="AK1988" s="103"/>
      <c r="AL1988" s="103"/>
      <c r="AM1988" s="103"/>
      <c r="AN1988" s="103">
        <v>152</v>
      </c>
      <c r="AO1988" s="103">
        <v>110</v>
      </c>
      <c r="AP1988" s="103">
        <v>108</v>
      </c>
      <c r="AQ1988" s="103"/>
      <c r="AR1988" s="103"/>
      <c r="AS1988" s="103"/>
      <c r="AT1988" s="103"/>
      <c r="AU1988" s="103"/>
      <c r="AV1988" s="103"/>
      <c r="AW1988" s="104" t="str">
        <f>HYPERLINK("http://www.openstreetmap.org/?mlat=34.5846&amp;mlon=43.6826&amp;zoom=12#map=12/34.5846/43.6826","Maplink1")</f>
        <v>Maplink1</v>
      </c>
      <c r="AX1988" s="104" t="str">
        <f>HYPERLINK("https://www.google.iq/maps/search/+34.5846,43.6826/@34.5846,43.6826,14z?hl=en","Maplink2")</f>
        <v>Maplink2</v>
      </c>
      <c r="AY1988" s="104" t="str">
        <f>HYPERLINK("http://www.bing.com/maps/?lvl=14&amp;sty=h&amp;cp=34.5846~43.6826&amp;sp=point.34.5846_43.6826","Maplink3")</f>
        <v>Maplink3</v>
      </c>
    </row>
    <row r="1989" spans="1:51" x14ac:dyDescent="0.2">
      <c r="A1989" s="102">
        <v>21357</v>
      </c>
      <c r="B1989" s="103" t="s">
        <v>36</v>
      </c>
      <c r="C1989" s="103" t="s">
        <v>112</v>
      </c>
      <c r="D1989" s="103" t="s">
        <v>3799</v>
      </c>
      <c r="E1989" s="103" t="s">
        <v>3800</v>
      </c>
      <c r="F1989" s="103">
        <v>34.45798508</v>
      </c>
      <c r="G1989" s="103">
        <v>43.726723280000002</v>
      </c>
      <c r="H1989" s="102">
        <v>1268</v>
      </c>
      <c r="I1989" s="102">
        <v>7608</v>
      </c>
      <c r="J1989" s="103"/>
      <c r="K1989" s="103"/>
      <c r="L1989" s="103">
        <v>63</v>
      </c>
      <c r="M1989" s="103">
        <v>1155</v>
      </c>
      <c r="N1989" s="103">
        <v>50</v>
      </c>
      <c r="O1989" s="103"/>
      <c r="P1989" s="103"/>
      <c r="Q1989" s="103"/>
      <c r="R1989" s="103"/>
      <c r="S1989" s="103"/>
      <c r="T1989" s="103"/>
      <c r="U1989" s="103"/>
      <c r="V1989" s="103"/>
      <c r="W1989" s="103">
        <v>57</v>
      </c>
      <c r="X1989" s="103">
        <v>12</v>
      </c>
      <c r="Y1989" s="103">
        <v>55</v>
      </c>
      <c r="Z1989" s="103"/>
      <c r="AA1989" s="103">
        <v>225</v>
      </c>
      <c r="AB1989" s="103"/>
      <c r="AC1989" s="103">
        <v>593</v>
      </c>
      <c r="AD1989" s="103"/>
      <c r="AE1989" s="103"/>
      <c r="AF1989" s="103"/>
      <c r="AG1989" s="103"/>
      <c r="AH1989" s="103"/>
      <c r="AI1989" s="103">
        <v>326</v>
      </c>
      <c r="AJ1989" s="103"/>
      <c r="AK1989" s="103"/>
      <c r="AL1989" s="103"/>
      <c r="AM1989" s="103"/>
      <c r="AN1989" s="103">
        <v>1268</v>
      </c>
      <c r="AO1989" s="103"/>
      <c r="AP1989" s="103"/>
      <c r="AQ1989" s="103"/>
      <c r="AR1989" s="103"/>
      <c r="AS1989" s="103"/>
      <c r="AT1989" s="103"/>
      <c r="AU1989" s="103"/>
      <c r="AV1989" s="103"/>
      <c r="AW1989" s="104" t="str">
        <f>HYPERLINK("http://www.openstreetmap.org/?mlat=34.458&amp;mlon=43.7267&amp;zoom=12#map=12/34.458/43.7267","Maplink1")</f>
        <v>Maplink1</v>
      </c>
      <c r="AX1989" s="104" t="str">
        <f>HYPERLINK("https://www.google.iq/maps/search/+34.458,43.7267/@34.458,43.7267,14z?hl=en","Maplink2")</f>
        <v>Maplink2</v>
      </c>
      <c r="AY1989" s="104" t="str">
        <f>HYPERLINK("http://www.bing.com/maps/?lvl=14&amp;sty=h&amp;cp=34.458~43.7267&amp;sp=point.34.458_43.7267","Maplink3")</f>
        <v>Maplink3</v>
      </c>
    </row>
    <row r="1990" spans="1:51" x14ac:dyDescent="0.2">
      <c r="A1990" s="102">
        <v>23702</v>
      </c>
      <c r="B1990" s="103" t="s">
        <v>36</v>
      </c>
      <c r="C1990" s="103" t="s">
        <v>112</v>
      </c>
      <c r="D1990" s="103" t="s">
        <v>3801</v>
      </c>
      <c r="E1990" s="103" t="s">
        <v>3802</v>
      </c>
      <c r="F1990" s="103">
        <v>34.650852159700001</v>
      </c>
      <c r="G1990" s="103">
        <v>43.648403682400001</v>
      </c>
      <c r="H1990" s="102">
        <v>1271</v>
      </c>
      <c r="I1990" s="102">
        <v>7626</v>
      </c>
      <c r="J1990" s="103"/>
      <c r="K1990" s="103"/>
      <c r="L1990" s="103">
        <v>144</v>
      </c>
      <c r="M1990" s="103">
        <v>1127</v>
      </c>
      <c r="N1990" s="103"/>
      <c r="O1990" s="103"/>
      <c r="P1990" s="103"/>
      <c r="Q1990" s="103"/>
      <c r="R1990" s="103"/>
      <c r="S1990" s="103"/>
      <c r="T1990" s="103"/>
      <c r="U1990" s="103"/>
      <c r="V1990" s="103"/>
      <c r="W1990" s="103">
        <v>100</v>
      </c>
      <c r="X1990" s="103"/>
      <c r="Y1990" s="103">
        <v>100</v>
      </c>
      <c r="Z1990" s="103"/>
      <c r="AA1990" s="103">
        <v>300</v>
      </c>
      <c r="AB1990" s="103"/>
      <c r="AC1990" s="103">
        <v>445</v>
      </c>
      <c r="AD1990" s="103"/>
      <c r="AE1990" s="103"/>
      <c r="AF1990" s="103"/>
      <c r="AG1990" s="103">
        <v>3</v>
      </c>
      <c r="AH1990" s="103"/>
      <c r="AI1990" s="103">
        <v>283</v>
      </c>
      <c r="AJ1990" s="103">
        <v>40</v>
      </c>
      <c r="AK1990" s="103"/>
      <c r="AL1990" s="103"/>
      <c r="AM1990" s="103"/>
      <c r="AN1990" s="103">
        <v>606</v>
      </c>
      <c r="AO1990" s="103">
        <v>400</v>
      </c>
      <c r="AP1990" s="103">
        <v>85</v>
      </c>
      <c r="AQ1990" s="103">
        <v>180</v>
      </c>
      <c r="AR1990" s="103"/>
      <c r="AS1990" s="103"/>
      <c r="AT1990" s="103"/>
      <c r="AU1990" s="103"/>
      <c r="AV1990" s="103"/>
      <c r="AW1990" s="104" t="str">
        <f>HYPERLINK("http://www.openstreetmap.org/?mlat=34.6509&amp;mlon=43.6484&amp;zoom=12#map=12/34.6509/43.6484","Maplink1")</f>
        <v>Maplink1</v>
      </c>
      <c r="AX1990" s="104" t="str">
        <f>HYPERLINK("https://www.google.iq/maps/search/+34.6509,43.6484/@34.6509,43.6484,14z?hl=en","Maplink2")</f>
        <v>Maplink2</v>
      </c>
      <c r="AY1990" s="104" t="str">
        <f>HYPERLINK("http://www.bing.com/maps/?lvl=14&amp;sty=h&amp;cp=34.6509~43.6484&amp;sp=point.34.6509_43.6484","Maplink3")</f>
        <v>Maplink3</v>
      </c>
    </row>
    <row r="1991" spans="1:51" x14ac:dyDescent="0.2">
      <c r="A1991" s="102">
        <v>25894</v>
      </c>
      <c r="B1991" s="103" t="s">
        <v>36</v>
      </c>
      <c r="C1991" s="103" t="s">
        <v>112</v>
      </c>
      <c r="D1991" s="103" t="s">
        <v>3742</v>
      </c>
      <c r="E1991" s="103" t="s">
        <v>3743</v>
      </c>
      <c r="F1991" s="103">
        <v>34.641241000000001</v>
      </c>
      <c r="G1991" s="103">
        <v>43.898649229699998</v>
      </c>
      <c r="H1991" s="102">
        <v>101</v>
      </c>
      <c r="I1991" s="102">
        <v>606</v>
      </c>
      <c r="J1991" s="103"/>
      <c r="K1991" s="103"/>
      <c r="L1991" s="103"/>
      <c r="M1991" s="103">
        <v>51</v>
      </c>
      <c r="N1991" s="103">
        <v>50</v>
      </c>
      <c r="O1991" s="103"/>
      <c r="P1991" s="103"/>
      <c r="Q1991" s="103"/>
      <c r="R1991" s="103"/>
      <c r="S1991" s="103"/>
      <c r="T1991" s="103"/>
      <c r="U1991" s="103"/>
      <c r="V1991" s="103"/>
      <c r="W1991" s="103"/>
      <c r="X1991" s="103"/>
      <c r="Y1991" s="103"/>
      <c r="Z1991" s="103"/>
      <c r="AA1991" s="103"/>
      <c r="AB1991" s="103"/>
      <c r="AC1991" s="103">
        <v>75</v>
      </c>
      <c r="AD1991" s="103"/>
      <c r="AE1991" s="103"/>
      <c r="AF1991" s="103"/>
      <c r="AG1991" s="103"/>
      <c r="AH1991" s="103"/>
      <c r="AI1991" s="103">
        <v>26</v>
      </c>
      <c r="AJ1991" s="103"/>
      <c r="AK1991" s="103"/>
      <c r="AL1991" s="103"/>
      <c r="AM1991" s="103"/>
      <c r="AN1991" s="103"/>
      <c r="AO1991" s="103">
        <v>75</v>
      </c>
      <c r="AP1991" s="103"/>
      <c r="AQ1991" s="103">
        <v>26</v>
      </c>
      <c r="AR1991" s="103"/>
      <c r="AS1991" s="103"/>
      <c r="AT1991" s="103"/>
      <c r="AU1991" s="103"/>
      <c r="AV1991" s="103"/>
      <c r="AW1991" s="104" t="str">
        <f>HYPERLINK("http://www.openstreetmap.org/?mlat=34.6412&amp;mlon=43.8986&amp;zoom=12#map=12/34.6412/43.8986","Maplink1")</f>
        <v>Maplink1</v>
      </c>
      <c r="AX1991" s="104" t="str">
        <f>HYPERLINK("https://www.google.iq/maps/search/+34.6412,43.8986/@34.6412,43.8986,14z?hl=en","Maplink2")</f>
        <v>Maplink2</v>
      </c>
      <c r="AY1991" s="104" t="str">
        <f>HYPERLINK("http://www.bing.com/maps/?lvl=14&amp;sty=h&amp;cp=34.6412~43.8986&amp;sp=point.34.6412_43.8986","Maplink3")</f>
        <v>Maplink3</v>
      </c>
    </row>
    <row r="1992" spans="1:51" x14ac:dyDescent="0.2">
      <c r="A1992" s="102">
        <v>27368</v>
      </c>
      <c r="B1992" s="103" t="s">
        <v>36</v>
      </c>
      <c r="C1992" s="103" t="s">
        <v>112</v>
      </c>
      <c r="D1992" s="103" t="s">
        <v>3744</v>
      </c>
      <c r="E1992" s="103" t="s">
        <v>1822</v>
      </c>
      <c r="F1992" s="103">
        <v>34.604072682599998</v>
      </c>
      <c r="G1992" s="103">
        <v>43.664331659699997</v>
      </c>
      <c r="H1992" s="102">
        <v>90</v>
      </c>
      <c r="I1992" s="102">
        <v>540</v>
      </c>
      <c r="J1992" s="103"/>
      <c r="K1992" s="103"/>
      <c r="L1992" s="103">
        <v>4</v>
      </c>
      <c r="M1992" s="103">
        <v>86</v>
      </c>
      <c r="N1992" s="103"/>
      <c r="O1992" s="103"/>
      <c r="P1992" s="103"/>
      <c r="Q1992" s="103"/>
      <c r="R1992" s="103"/>
      <c r="S1992" s="103"/>
      <c r="T1992" s="103"/>
      <c r="U1992" s="103"/>
      <c r="V1992" s="103"/>
      <c r="W1992" s="103"/>
      <c r="X1992" s="103"/>
      <c r="Y1992" s="103"/>
      <c r="Z1992" s="103"/>
      <c r="AA1992" s="103">
        <v>22</v>
      </c>
      <c r="AB1992" s="103"/>
      <c r="AC1992" s="103">
        <v>28</v>
      </c>
      <c r="AD1992" s="103"/>
      <c r="AE1992" s="103"/>
      <c r="AF1992" s="103"/>
      <c r="AG1992" s="103"/>
      <c r="AH1992" s="103"/>
      <c r="AI1992" s="103">
        <v>40</v>
      </c>
      <c r="AJ1992" s="103"/>
      <c r="AK1992" s="103"/>
      <c r="AL1992" s="103"/>
      <c r="AM1992" s="103"/>
      <c r="AN1992" s="103">
        <v>70</v>
      </c>
      <c r="AO1992" s="103">
        <v>20</v>
      </c>
      <c r="AP1992" s="103"/>
      <c r="AQ1992" s="103"/>
      <c r="AR1992" s="103"/>
      <c r="AS1992" s="103"/>
      <c r="AT1992" s="103"/>
      <c r="AU1992" s="103"/>
      <c r="AV1992" s="103"/>
      <c r="AW1992" s="104" t="str">
        <f>HYPERLINK("http://www.openstreetmap.org/?mlat=34.6041&amp;mlon=43.6643&amp;zoom=12#map=12/34.6041/43.6643","Maplink1")</f>
        <v>Maplink1</v>
      </c>
      <c r="AX1992" s="104" t="str">
        <f>HYPERLINK("https://www.google.iq/maps/search/+34.6041,43.6643/@34.6041,43.6643,14z?hl=en","Maplink2")</f>
        <v>Maplink2</v>
      </c>
      <c r="AY1992" s="104" t="str">
        <f>HYPERLINK("http://www.bing.com/maps/?lvl=14&amp;sty=h&amp;cp=34.6041~43.6643&amp;sp=point.34.6041_43.6643","Maplink3")</f>
        <v>Maplink3</v>
      </c>
    </row>
    <row r="1993" spans="1:51" x14ac:dyDescent="0.2">
      <c r="A1993" s="102">
        <v>25961</v>
      </c>
      <c r="B1993" s="103" t="s">
        <v>36</v>
      </c>
      <c r="C1993" s="103" t="s">
        <v>112</v>
      </c>
      <c r="D1993" s="103" t="s">
        <v>3745</v>
      </c>
      <c r="E1993" s="103" t="s">
        <v>3746</v>
      </c>
      <c r="F1993" s="103">
        <v>34.594812146400002</v>
      </c>
      <c r="G1993" s="103">
        <v>43.676827149499999</v>
      </c>
      <c r="H1993" s="102">
        <v>416</v>
      </c>
      <c r="I1993" s="102">
        <v>2496</v>
      </c>
      <c r="J1993" s="103"/>
      <c r="K1993" s="103"/>
      <c r="L1993" s="103">
        <v>48</v>
      </c>
      <c r="M1993" s="103">
        <v>368</v>
      </c>
      <c r="N1993" s="103"/>
      <c r="O1993" s="103"/>
      <c r="P1993" s="103"/>
      <c r="Q1993" s="103"/>
      <c r="R1993" s="103"/>
      <c r="S1993" s="103"/>
      <c r="T1993" s="103"/>
      <c r="U1993" s="103"/>
      <c r="V1993" s="103"/>
      <c r="W1993" s="103"/>
      <c r="X1993" s="103"/>
      <c r="Y1993" s="103"/>
      <c r="Z1993" s="103"/>
      <c r="AA1993" s="103">
        <v>112</v>
      </c>
      <c r="AB1993" s="103"/>
      <c r="AC1993" s="103">
        <v>174</v>
      </c>
      <c r="AD1993" s="103"/>
      <c r="AE1993" s="103"/>
      <c r="AF1993" s="103"/>
      <c r="AG1993" s="103">
        <v>3</v>
      </c>
      <c r="AH1993" s="103"/>
      <c r="AI1993" s="103">
        <v>127</v>
      </c>
      <c r="AJ1993" s="103"/>
      <c r="AK1993" s="103"/>
      <c r="AL1993" s="103"/>
      <c r="AM1993" s="103"/>
      <c r="AN1993" s="103">
        <v>283</v>
      </c>
      <c r="AO1993" s="103">
        <v>70</v>
      </c>
      <c r="AP1993" s="103">
        <v>63</v>
      </c>
      <c r="AQ1993" s="103"/>
      <c r="AR1993" s="103"/>
      <c r="AS1993" s="103"/>
      <c r="AT1993" s="103"/>
      <c r="AU1993" s="103"/>
      <c r="AV1993" s="103"/>
      <c r="AW1993" s="104" t="str">
        <f>HYPERLINK("http://www.openstreetmap.org/?mlat=34.5948&amp;mlon=43.6768&amp;zoom=12#map=12/34.5948/43.6768","Maplink1")</f>
        <v>Maplink1</v>
      </c>
      <c r="AX1993" s="104" t="str">
        <f>HYPERLINK("https://www.google.iq/maps/search/+34.5948,43.6768/@34.5948,43.6768,14z?hl=en","Maplink2")</f>
        <v>Maplink2</v>
      </c>
      <c r="AY1993" s="104" t="str">
        <f>HYPERLINK("http://www.bing.com/maps/?lvl=14&amp;sty=h&amp;cp=34.5948~43.6768&amp;sp=point.34.5948_43.6768","Maplink3")</f>
        <v>Maplink3</v>
      </c>
    </row>
    <row r="1994" spans="1:51" x14ac:dyDescent="0.2">
      <c r="A1994" s="102">
        <v>25962</v>
      </c>
      <c r="B1994" s="103" t="s">
        <v>36</v>
      </c>
      <c r="C1994" s="103" t="s">
        <v>112</v>
      </c>
      <c r="D1994" s="103" t="s">
        <v>3747</v>
      </c>
      <c r="E1994" s="103" t="s">
        <v>3748</v>
      </c>
      <c r="F1994" s="103">
        <v>34.6097445069</v>
      </c>
      <c r="G1994" s="103">
        <v>43.680821713100002</v>
      </c>
      <c r="H1994" s="102">
        <v>728</v>
      </c>
      <c r="I1994" s="102">
        <v>4368</v>
      </c>
      <c r="J1994" s="103"/>
      <c r="K1994" s="103"/>
      <c r="L1994" s="103">
        <v>34</v>
      </c>
      <c r="M1994" s="103">
        <v>694</v>
      </c>
      <c r="N1994" s="103"/>
      <c r="O1994" s="103"/>
      <c r="P1994" s="103"/>
      <c r="Q1994" s="103"/>
      <c r="R1994" s="103"/>
      <c r="S1994" s="103"/>
      <c r="T1994" s="103"/>
      <c r="U1994" s="103"/>
      <c r="V1994" s="103"/>
      <c r="W1994" s="103">
        <v>23</v>
      </c>
      <c r="X1994" s="103"/>
      <c r="Y1994" s="103">
        <v>6</v>
      </c>
      <c r="Z1994" s="103"/>
      <c r="AA1994" s="103">
        <v>285</v>
      </c>
      <c r="AB1994" s="103"/>
      <c r="AC1994" s="103">
        <v>252</v>
      </c>
      <c r="AD1994" s="103"/>
      <c r="AE1994" s="103"/>
      <c r="AF1994" s="103"/>
      <c r="AG1994" s="103">
        <v>2</v>
      </c>
      <c r="AH1994" s="103"/>
      <c r="AI1994" s="103">
        <v>134</v>
      </c>
      <c r="AJ1994" s="103">
        <v>26</v>
      </c>
      <c r="AK1994" s="103"/>
      <c r="AL1994" s="103"/>
      <c r="AM1994" s="103"/>
      <c r="AN1994" s="103">
        <v>400</v>
      </c>
      <c r="AO1994" s="103">
        <v>100</v>
      </c>
      <c r="AP1994" s="103">
        <v>228</v>
      </c>
      <c r="AQ1994" s="103"/>
      <c r="AR1994" s="103"/>
      <c r="AS1994" s="103"/>
      <c r="AT1994" s="103"/>
      <c r="AU1994" s="103"/>
      <c r="AV1994" s="103"/>
      <c r="AW1994" s="104" t="str">
        <f>HYPERLINK("http://www.openstreetmap.org/?mlat=34.6097&amp;mlon=43.6808&amp;zoom=12#map=12/34.6097/43.6808","Maplink1")</f>
        <v>Maplink1</v>
      </c>
      <c r="AX1994" s="104" t="str">
        <f>HYPERLINK("https://www.google.iq/maps/search/+34.6097,43.6808/@34.6097,43.6808,14z?hl=en","Maplink2")</f>
        <v>Maplink2</v>
      </c>
      <c r="AY1994" s="104" t="str">
        <f>HYPERLINK("http://www.bing.com/maps/?lvl=14&amp;sty=h&amp;cp=34.6097~43.6808&amp;sp=point.34.6097_43.6808","Maplink3")</f>
        <v>Maplink3</v>
      </c>
    </row>
    <row r="1995" spans="1:51" x14ac:dyDescent="0.2">
      <c r="A1995" s="102">
        <v>23525</v>
      </c>
      <c r="B1995" s="103" t="s">
        <v>36</v>
      </c>
      <c r="C1995" s="103" t="s">
        <v>112</v>
      </c>
      <c r="D1995" s="103" t="s">
        <v>3749</v>
      </c>
      <c r="E1995" s="103" t="s">
        <v>3750</v>
      </c>
      <c r="F1995" s="103">
        <v>34.7051066155</v>
      </c>
      <c r="G1995" s="103">
        <v>43.654714797899999</v>
      </c>
      <c r="H1995" s="102">
        <v>33</v>
      </c>
      <c r="I1995" s="102">
        <v>198</v>
      </c>
      <c r="J1995" s="103"/>
      <c r="K1995" s="103"/>
      <c r="L1995" s="103"/>
      <c r="M1995" s="103">
        <v>33</v>
      </c>
      <c r="N1995" s="103"/>
      <c r="O1995" s="103"/>
      <c r="P1995" s="103"/>
      <c r="Q1995" s="103"/>
      <c r="R1995" s="103"/>
      <c r="S1995" s="103"/>
      <c r="T1995" s="103"/>
      <c r="U1995" s="103"/>
      <c r="V1995" s="103"/>
      <c r="W1995" s="103"/>
      <c r="X1995" s="103"/>
      <c r="Y1995" s="103"/>
      <c r="Z1995" s="103"/>
      <c r="AA1995" s="103"/>
      <c r="AB1995" s="103"/>
      <c r="AC1995" s="103">
        <v>20</v>
      </c>
      <c r="AD1995" s="103"/>
      <c r="AE1995" s="103"/>
      <c r="AF1995" s="103"/>
      <c r="AG1995" s="103"/>
      <c r="AH1995" s="103"/>
      <c r="AI1995" s="103">
        <v>13</v>
      </c>
      <c r="AJ1995" s="103"/>
      <c r="AK1995" s="103"/>
      <c r="AL1995" s="103"/>
      <c r="AM1995" s="103"/>
      <c r="AN1995" s="103">
        <v>10</v>
      </c>
      <c r="AO1995" s="103">
        <v>10</v>
      </c>
      <c r="AP1995" s="103">
        <v>13</v>
      </c>
      <c r="AQ1995" s="103"/>
      <c r="AR1995" s="103"/>
      <c r="AS1995" s="103"/>
      <c r="AT1995" s="103"/>
      <c r="AU1995" s="103"/>
      <c r="AV1995" s="103"/>
      <c r="AW1995" s="104" t="str">
        <f>HYPERLINK("http://www.openstreetmap.org/?mlat=34.7051&amp;mlon=43.6547&amp;zoom=12#map=12/34.7051/43.6547","Maplink1")</f>
        <v>Maplink1</v>
      </c>
      <c r="AX1995" s="104" t="str">
        <f>HYPERLINK("https://www.google.iq/maps/search/+34.7051,43.6547/@34.7051,43.6547,14z?hl=en","Maplink2")</f>
        <v>Maplink2</v>
      </c>
      <c r="AY1995" s="104" t="str">
        <f>HYPERLINK("http://www.bing.com/maps/?lvl=14&amp;sty=h&amp;cp=34.7051~43.6547&amp;sp=point.34.7051_43.6547","Maplink3")</f>
        <v>Maplink3</v>
      </c>
    </row>
    <row r="1996" spans="1:51" x14ac:dyDescent="0.2">
      <c r="A1996" s="102">
        <v>22180</v>
      </c>
      <c r="B1996" s="103" t="s">
        <v>36</v>
      </c>
      <c r="C1996" s="103" t="s">
        <v>112</v>
      </c>
      <c r="D1996" s="103" t="s">
        <v>3733</v>
      </c>
      <c r="E1996" s="103" t="s">
        <v>3734</v>
      </c>
      <c r="F1996" s="103">
        <v>34.602524840000001</v>
      </c>
      <c r="G1996" s="103">
        <v>43.719501359299997</v>
      </c>
      <c r="H1996" s="102">
        <v>1481</v>
      </c>
      <c r="I1996" s="102">
        <v>8886</v>
      </c>
      <c r="J1996" s="103"/>
      <c r="K1996" s="103"/>
      <c r="L1996" s="103"/>
      <c r="M1996" s="103">
        <v>771</v>
      </c>
      <c r="N1996" s="103">
        <v>215</v>
      </c>
      <c r="O1996" s="103">
        <v>260</v>
      </c>
      <c r="P1996" s="103">
        <v>235</v>
      </c>
      <c r="Q1996" s="103"/>
      <c r="R1996" s="103"/>
      <c r="S1996" s="103"/>
      <c r="T1996" s="103"/>
      <c r="U1996" s="103"/>
      <c r="V1996" s="103"/>
      <c r="W1996" s="103">
        <v>4</v>
      </c>
      <c r="X1996" s="103"/>
      <c r="Y1996" s="103"/>
      <c r="Z1996" s="103"/>
      <c r="AA1996" s="103">
        <v>307</v>
      </c>
      <c r="AB1996" s="103"/>
      <c r="AC1996" s="103">
        <v>1152</v>
      </c>
      <c r="AD1996" s="103"/>
      <c r="AE1996" s="103"/>
      <c r="AF1996" s="103"/>
      <c r="AG1996" s="103"/>
      <c r="AH1996" s="103"/>
      <c r="AI1996" s="103">
        <v>10</v>
      </c>
      <c r="AJ1996" s="103">
        <v>8</v>
      </c>
      <c r="AK1996" s="103"/>
      <c r="AL1996" s="103"/>
      <c r="AM1996" s="103"/>
      <c r="AN1996" s="103">
        <v>136</v>
      </c>
      <c r="AO1996" s="103">
        <v>162</v>
      </c>
      <c r="AP1996" s="103">
        <v>1183</v>
      </c>
      <c r="AQ1996" s="103"/>
      <c r="AR1996" s="103"/>
      <c r="AS1996" s="103"/>
      <c r="AT1996" s="103"/>
      <c r="AU1996" s="103"/>
      <c r="AV1996" s="103"/>
      <c r="AW1996" s="104" t="str">
        <f>HYPERLINK("http://www.openstreetmap.org/?mlat=34.6025&amp;mlon=43.7195&amp;zoom=12#map=12/34.6025/43.7195","Maplink1")</f>
        <v>Maplink1</v>
      </c>
      <c r="AX1996" s="104" t="str">
        <f>HYPERLINK("https://www.google.iq/maps/search/+34.6025,43.7195/@34.6025,43.7195,14z?hl=en","Maplink2")</f>
        <v>Maplink2</v>
      </c>
      <c r="AY1996" s="104" t="str">
        <f>HYPERLINK("http://www.bing.com/maps/?lvl=14&amp;sty=h&amp;cp=34.6025~43.7195&amp;sp=point.34.6025_43.7195","Maplink3")</f>
        <v>Maplink3</v>
      </c>
    </row>
    <row r="1997" spans="1:51" x14ac:dyDescent="0.2">
      <c r="A1997" s="102">
        <v>20642</v>
      </c>
      <c r="B1997" s="103" t="s">
        <v>36</v>
      </c>
      <c r="C1997" s="103" t="s">
        <v>112</v>
      </c>
      <c r="D1997" s="103" t="s">
        <v>3735</v>
      </c>
      <c r="E1997" s="103" t="s">
        <v>2685</v>
      </c>
      <c r="F1997" s="103">
        <v>34.691261144599999</v>
      </c>
      <c r="G1997" s="103">
        <v>43.6255140504</v>
      </c>
      <c r="H1997" s="102">
        <v>145</v>
      </c>
      <c r="I1997" s="102">
        <v>870</v>
      </c>
      <c r="J1997" s="103"/>
      <c r="K1997" s="103"/>
      <c r="L1997" s="103"/>
      <c r="M1997" s="103">
        <v>145</v>
      </c>
      <c r="N1997" s="103"/>
      <c r="O1997" s="103"/>
      <c r="P1997" s="103"/>
      <c r="Q1997" s="103"/>
      <c r="R1997" s="103"/>
      <c r="S1997" s="103"/>
      <c r="T1997" s="103"/>
      <c r="U1997" s="103"/>
      <c r="V1997" s="103"/>
      <c r="W1997" s="103"/>
      <c r="X1997" s="103"/>
      <c r="Y1997" s="103"/>
      <c r="Z1997" s="103"/>
      <c r="AA1997" s="103">
        <v>4</v>
      </c>
      <c r="AB1997" s="103"/>
      <c r="AC1997" s="103">
        <v>100</v>
      </c>
      <c r="AD1997" s="103"/>
      <c r="AE1997" s="103"/>
      <c r="AF1997" s="103"/>
      <c r="AG1997" s="103"/>
      <c r="AH1997" s="103"/>
      <c r="AI1997" s="103">
        <v>33</v>
      </c>
      <c r="AJ1997" s="103">
        <v>8</v>
      </c>
      <c r="AK1997" s="103"/>
      <c r="AL1997" s="103"/>
      <c r="AM1997" s="103"/>
      <c r="AN1997" s="103">
        <v>112</v>
      </c>
      <c r="AO1997" s="103"/>
      <c r="AP1997" s="103">
        <v>33</v>
      </c>
      <c r="AQ1997" s="103"/>
      <c r="AR1997" s="103"/>
      <c r="AS1997" s="103"/>
      <c r="AT1997" s="103"/>
      <c r="AU1997" s="103"/>
      <c r="AV1997" s="103"/>
      <c r="AW1997" s="104" t="str">
        <f>HYPERLINK("http://www.openstreetmap.org/?mlat=34.6913&amp;mlon=43.6255&amp;zoom=12#map=12/34.6913/43.6255","Maplink1")</f>
        <v>Maplink1</v>
      </c>
      <c r="AX1997" s="104" t="str">
        <f>HYPERLINK("https://www.google.iq/maps/search/+34.6913,43.6255/@34.6913,43.6255,14z?hl=en","Maplink2")</f>
        <v>Maplink2</v>
      </c>
      <c r="AY1997" s="104" t="str">
        <f>HYPERLINK("http://www.bing.com/maps/?lvl=14&amp;sty=h&amp;cp=34.6913~43.6255&amp;sp=point.34.6913_43.6255","Maplink3")</f>
        <v>Maplink3</v>
      </c>
    </row>
    <row r="1998" spans="1:51" x14ac:dyDescent="0.2">
      <c r="A1998" s="102">
        <v>23145</v>
      </c>
      <c r="B1998" s="103" t="s">
        <v>36</v>
      </c>
      <c r="C1998" s="103" t="s">
        <v>112</v>
      </c>
      <c r="D1998" s="103" t="s">
        <v>3797</v>
      </c>
      <c r="E1998" s="103" t="s">
        <v>3798</v>
      </c>
      <c r="F1998" s="103">
        <v>34.7201651082</v>
      </c>
      <c r="G1998" s="103">
        <v>43.698963032899997</v>
      </c>
      <c r="H1998" s="102">
        <v>750</v>
      </c>
      <c r="I1998" s="102">
        <v>4500</v>
      </c>
      <c r="J1998" s="103"/>
      <c r="K1998" s="103"/>
      <c r="L1998" s="103"/>
      <c r="M1998" s="103">
        <v>730</v>
      </c>
      <c r="N1998" s="103">
        <v>20</v>
      </c>
      <c r="O1998" s="103"/>
      <c r="P1998" s="103"/>
      <c r="Q1998" s="103"/>
      <c r="R1998" s="103"/>
      <c r="S1998" s="103"/>
      <c r="T1998" s="103"/>
      <c r="U1998" s="103"/>
      <c r="V1998" s="103"/>
      <c r="W1998" s="103">
        <v>33</v>
      </c>
      <c r="X1998" s="103"/>
      <c r="Y1998" s="103"/>
      <c r="Z1998" s="103"/>
      <c r="AA1998" s="103">
        <v>38</v>
      </c>
      <c r="AB1998" s="103"/>
      <c r="AC1998" s="103">
        <v>409</v>
      </c>
      <c r="AD1998" s="103"/>
      <c r="AE1998" s="103"/>
      <c r="AF1998" s="103"/>
      <c r="AG1998" s="103"/>
      <c r="AH1998" s="103"/>
      <c r="AI1998" s="103">
        <v>253</v>
      </c>
      <c r="AJ1998" s="103">
        <v>17</v>
      </c>
      <c r="AK1998" s="103"/>
      <c r="AL1998" s="103"/>
      <c r="AM1998" s="103"/>
      <c r="AN1998" s="103">
        <v>400</v>
      </c>
      <c r="AO1998" s="103">
        <v>350</v>
      </c>
      <c r="AP1998" s="103"/>
      <c r="AQ1998" s="103"/>
      <c r="AR1998" s="103"/>
      <c r="AS1998" s="103"/>
      <c r="AT1998" s="103"/>
      <c r="AU1998" s="103"/>
      <c r="AV1998" s="103"/>
      <c r="AW1998" s="104" t="str">
        <f>HYPERLINK("http://www.openstreetmap.org/?mlat=34.7202&amp;mlon=43.699&amp;zoom=12#map=12/34.7202/43.699","Maplink1")</f>
        <v>Maplink1</v>
      </c>
      <c r="AX1998" s="104" t="str">
        <f>HYPERLINK("https://www.google.iq/maps/search/+34.7202,43.699/@34.7202,43.699,14z?hl=en","Maplink2")</f>
        <v>Maplink2</v>
      </c>
      <c r="AY1998" s="104" t="str">
        <f>HYPERLINK("http://www.bing.com/maps/?lvl=14&amp;sty=h&amp;cp=34.7202~43.699&amp;sp=point.34.7202_43.699","Maplink3")</f>
        <v>Maplink3</v>
      </c>
    </row>
    <row r="1999" spans="1:51" x14ac:dyDescent="0.2">
      <c r="A1999" s="102">
        <v>25864</v>
      </c>
      <c r="B1999" s="103" t="s">
        <v>36</v>
      </c>
      <c r="C1999" s="103" t="s">
        <v>113</v>
      </c>
      <c r="D1999" s="103" t="s">
        <v>3819</v>
      </c>
      <c r="E1999" s="103" t="s">
        <v>3820</v>
      </c>
      <c r="F1999" s="103">
        <v>34.882236040000002</v>
      </c>
      <c r="G1999" s="103">
        <v>44.6369824557</v>
      </c>
      <c r="H1999" s="102">
        <v>63</v>
      </c>
      <c r="I1999" s="102">
        <v>378</v>
      </c>
      <c r="J1999" s="103"/>
      <c r="K1999" s="103"/>
      <c r="L1999" s="103"/>
      <c r="M1999" s="103">
        <v>63</v>
      </c>
      <c r="N1999" s="103"/>
      <c r="O1999" s="103"/>
      <c r="P1999" s="103"/>
      <c r="Q1999" s="103"/>
      <c r="R1999" s="103"/>
      <c r="S1999" s="103"/>
      <c r="T1999" s="103"/>
      <c r="U1999" s="103"/>
      <c r="V1999" s="103"/>
      <c r="W1999" s="103"/>
      <c r="X1999" s="103"/>
      <c r="Y1999" s="103"/>
      <c r="Z1999" s="103"/>
      <c r="AA1999" s="103"/>
      <c r="AB1999" s="103"/>
      <c r="AC1999" s="103"/>
      <c r="AD1999" s="103"/>
      <c r="AE1999" s="103"/>
      <c r="AF1999" s="103">
        <v>3</v>
      </c>
      <c r="AG1999" s="103"/>
      <c r="AH1999" s="103"/>
      <c r="AI1999" s="103">
        <v>60</v>
      </c>
      <c r="AJ1999" s="103"/>
      <c r="AK1999" s="103"/>
      <c r="AL1999" s="103"/>
      <c r="AM1999" s="103"/>
      <c r="AN1999" s="103"/>
      <c r="AO1999" s="103"/>
      <c r="AP1999" s="103"/>
      <c r="AQ1999" s="103"/>
      <c r="AR1999" s="103"/>
      <c r="AS1999" s="103"/>
      <c r="AT1999" s="103">
        <v>63</v>
      </c>
      <c r="AU1999" s="103"/>
      <c r="AV1999" s="103"/>
      <c r="AW1999" s="104" t="str">
        <f>HYPERLINK("http://www.openstreetmap.org/?mlat=34.8822&amp;mlon=44.637&amp;zoom=12#map=12/34.8822/44.637","Maplink1")</f>
        <v>Maplink1</v>
      </c>
      <c r="AX1999" s="104" t="str">
        <f>HYPERLINK("https://www.google.iq/maps/search/+34.8822,44.637/@34.8822,44.637,14z?hl=en","Maplink2")</f>
        <v>Maplink2</v>
      </c>
      <c r="AY1999" s="104" t="str">
        <f>HYPERLINK("http://www.bing.com/maps/?lvl=14&amp;sty=h&amp;cp=34.8822~44.637&amp;sp=point.34.8822_44.637","Maplink3")</f>
        <v>Maplink3</v>
      </c>
    </row>
    <row r="2000" spans="1:51" x14ac:dyDescent="0.2">
      <c r="A2000" s="102">
        <v>20484</v>
      </c>
      <c r="B2000" s="103" t="s">
        <v>36</v>
      </c>
      <c r="C2000" s="103" t="s">
        <v>113</v>
      </c>
      <c r="D2000" s="103" t="s">
        <v>3821</v>
      </c>
      <c r="E2000" s="103" t="s">
        <v>3822</v>
      </c>
      <c r="F2000" s="103">
        <v>34.818984</v>
      </c>
      <c r="G2000" s="103">
        <v>44.557499</v>
      </c>
      <c r="H2000" s="102">
        <v>328</v>
      </c>
      <c r="I2000" s="102">
        <v>1968</v>
      </c>
      <c r="J2000" s="103"/>
      <c r="K2000" s="103"/>
      <c r="L2000" s="103"/>
      <c r="M2000" s="103">
        <v>328</v>
      </c>
      <c r="N2000" s="103"/>
      <c r="O2000" s="103"/>
      <c r="P2000" s="103"/>
      <c r="Q2000" s="103"/>
      <c r="R2000" s="103"/>
      <c r="S2000" s="103"/>
      <c r="T2000" s="103"/>
      <c r="U2000" s="103"/>
      <c r="V2000" s="103"/>
      <c r="W2000" s="103">
        <v>15</v>
      </c>
      <c r="X2000" s="103"/>
      <c r="Y2000" s="103"/>
      <c r="Z2000" s="103"/>
      <c r="AA2000" s="103"/>
      <c r="AB2000" s="103">
        <v>50</v>
      </c>
      <c r="AC2000" s="103">
        <v>35</v>
      </c>
      <c r="AD2000" s="103"/>
      <c r="AE2000" s="103"/>
      <c r="AF2000" s="103">
        <v>35</v>
      </c>
      <c r="AG2000" s="103"/>
      <c r="AH2000" s="103"/>
      <c r="AI2000" s="103">
        <v>193</v>
      </c>
      <c r="AJ2000" s="103"/>
      <c r="AK2000" s="103"/>
      <c r="AL2000" s="103"/>
      <c r="AM2000" s="103">
        <v>318</v>
      </c>
      <c r="AN2000" s="103">
        <v>10</v>
      </c>
      <c r="AO2000" s="103"/>
      <c r="AP2000" s="103"/>
      <c r="AQ2000" s="103"/>
      <c r="AR2000" s="103"/>
      <c r="AS2000" s="103"/>
      <c r="AT2000" s="103"/>
      <c r="AU2000" s="103"/>
      <c r="AV2000" s="103"/>
      <c r="AW2000" s="104" t="str">
        <f>HYPERLINK("http://www.openstreetmap.org/?mlat=34.819&amp;mlon=44.5575&amp;zoom=12#map=12/34.819/44.5575","Maplink1")</f>
        <v>Maplink1</v>
      </c>
      <c r="AX2000" s="104" t="str">
        <f>HYPERLINK("https://www.google.iq/maps/search/+34.819,44.5575/@34.819,44.5575,14z?hl=en","Maplink2")</f>
        <v>Maplink2</v>
      </c>
      <c r="AY2000" s="104" t="str">
        <f>HYPERLINK("http://www.bing.com/maps/?lvl=14&amp;sty=h&amp;cp=34.819~44.5575&amp;sp=point.34.819_44.5575","Maplink3")</f>
        <v>Maplink3</v>
      </c>
    </row>
    <row r="2001" spans="1:51" x14ac:dyDescent="0.2">
      <c r="A2001" s="102">
        <v>27237</v>
      </c>
      <c r="B2001" s="103" t="s">
        <v>36</v>
      </c>
      <c r="C2001" s="103" t="s">
        <v>113</v>
      </c>
      <c r="D2001" s="103" t="s">
        <v>3849</v>
      </c>
      <c r="E2001" s="103" t="s">
        <v>157</v>
      </c>
      <c r="F2001" s="103">
        <v>34.724364000000001</v>
      </c>
      <c r="G2001" s="103">
        <v>44.587766000000002</v>
      </c>
      <c r="H2001" s="102">
        <v>40</v>
      </c>
      <c r="I2001" s="102">
        <v>240</v>
      </c>
      <c r="J2001" s="103"/>
      <c r="K2001" s="103"/>
      <c r="L2001" s="103"/>
      <c r="M2001" s="103">
        <v>40</v>
      </c>
      <c r="N2001" s="103"/>
      <c r="O2001" s="103"/>
      <c r="P2001" s="103"/>
      <c r="Q2001" s="103"/>
      <c r="R2001" s="103"/>
      <c r="S2001" s="103"/>
      <c r="T2001" s="103"/>
      <c r="U2001" s="103"/>
      <c r="V2001" s="103"/>
      <c r="W2001" s="103"/>
      <c r="X2001" s="103"/>
      <c r="Y2001" s="103"/>
      <c r="Z2001" s="103"/>
      <c r="AA2001" s="103"/>
      <c r="AB2001" s="103">
        <v>10</v>
      </c>
      <c r="AC2001" s="103">
        <v>15</v>
      </c>
      <c r="AD2001" s="103"/>
      <c r="AE2001" s="103"/>
      <c r="AF2001" s="103">
        <v>5</v>
      </c>
      <c r="AG2001" s="103"/>
      <c r="AH2001" s="103"/>
      <c r="AI2001" s="103">
        <v>10</v>
      </c>
      <c r="AJ2001" s="103"/>
      <c r="AK2001" s="103"/>
      <c r="AL2001" s="103"/>
      <c r="AM2001" s="103">
        <v>35</v>
      </c>
      <c r="AN2001" s="103">
        <v>5</v>
      </c>
      <c r="AO2001" s="103"/>
      <c r="AP2001" s="103"/>
      <c r="AQ2001" s="103"/>
      <c r="AR2001" s="103"/>
      <c r="AS2001" s="103"/>
      <c r="AT2001" s="103"/>
      <c r="AU2001" s="103"/>
      <c r="AV2001" s="103"/>
      <c r="AW2001" s="104" t="str">
        <f>HYPERLINK("http://www.openstreetmap.org/?mlat=34.7244&amp;mlon=44.5878&amp;zoom=12#map=12/34.7244/44.5878","Maplink1")</f>
        <v>Maplink1</v>
      </c>
      <c r="AX2001" s="104" t="str">
        <f>HYPERLINK("https://www.google.iq/maps/search/+34.7244,44.5878/@34.7244,44.5878,14z?hl=en","Maplink2")</f>
        <v>Maplink2</v>
      </c>
      <c r="AY2001" s="104" t="str">
        <f>HYPERLINK("http://www.bing.com/maps/?lvl=14&amp;sty=h&amp;cp=34.7244~44.5878&amp;sp=point.34.7244_44.5878","Maplink3")</f>
        <v>Maplink3</v>
      </c>
    </row>
    <row r="2002" spans="1:51" x14ac:dyDescent="0.2">
      <c r="A2002" s="102">
        <v>20499</v>
      </c>
      <c r="B2002" s="103" t="s">
        <v>36</v>
      </c>
      <c r="C2002" s="103" t="s">
        <v>113</v>
      </c>
      <c r="D2002" s="103" t="s">
        <v>3850</v>
      </c>
      <c r="E2002" s="103" t="s">
        <v>3851</v>
      </c>
      <c r="F2002" s="103">
        <v>34.820107</v>
      </c>
      <c r="G2002" s="103">
        <v>44.643925000000003</v>
      </c>
      <c r="H2002" s="102">
        <v>240</v>
      </c>
      <c r="I2002" s="102">
        <v>1440</v>
      </c>
      <c r="J2002" s="103">
        <v>10</v>
      </c>
      <c r="K2002" s="103"/>
      <c r="L2002" s="103"/>
      <c r="M2002" s="103">
        <v>225</v>
      </c>
      <c r="N2002" s="103">
        <v>5</v>
      </c>
      <c r="O2002" s="103"/>
      <c r="P2002" s="103"/>
      <c r="Q2002" s="103"/>
      <c r="R2002" s="103"/>
      <c r="S2002" s="103"/>
      <c r="T2002" s="103"/>
      <c r="U2002" s="103"/>
      <c r="V2002" s="103"/>
      <c r="W2002" s="103"/>
      <c r="X2002" s="103"/>
      <c r="Y2002" s="103"/>
      <c r="Z2002" s="103"/>
      <c r="AA2002" s="103"/>
      <c r="AB2002" s="103"/>
      <c r="AC2002" s="103">
        <v>55</v>
      </c>
      <c r="AD2002" s="103"/>
      <c r="AE2002" s="103"/>
      <c r="AF2002" s="103"/>
      <c r="AG2002" s="103"/>
      <c r="AH2002" s="103"/>
      <c r="AI2002" s="103">
        <v>185</v>
      </c>
      <c r="AJ2002" s="103"/>
      <c r="AK2002" s="103"/>
      <c r="AL2002" s="103"/>
      <c r="AM2002" s="103"/>
      <c r="AN2002" s="103">
        <v>135</v>
      </c>
      <c r="AO2002" s="103">
        <v>105</v>
      </c>
      <c r="AP2002" s="103"/>
      <c r="AQ2002" s="103"/>
      <c r="AR2002" s="103"/>
      <c r="AS2002" s="103"/>
      <c r="AT2002" s="103"/>
      <c r="AU2002" s="103"/>
      <c r="AV2002" s="103"/>
      <c r="AW2002" s="104" t="str">
        <f>HYPERLINK("http://www.openstreetmap.org/?mlat=34.8201&amp;mlon=44.6439&amp;zoom=12#map=12/34.8201/44.6439","Maplink1")</f>
        <v>Maplink1</v>
      </c>
      <c r="AX2002" s="104" t="str">
        <f>HYPERLINK("https://www.google.iq/maps/search/+34.8201,44.6439/@34.8201,44.6439,14z?hl=en","Maplink2")</f>
        <v>Maplink2</v>
      </c>
      <c r="AY2002" s="104" t="str">
        <f>HYPERLINK("http://www.bing.com/maps/?lvl=14&amp;sty=h&amp;cp=34.8201~44.6439&amp;sp=point.34.8201_44.6439","Maplink3")</f>
        <v>Maplink3</v>
      </c>
    </row>
    <row r="2003" spans="1:51" x14ac:dyDescent="0.2">
      <c r="A2003" s="102">
        <v>25754</v>
      </c>
      <c r="B2003" s="103" t="s">
        <v>36</v>
      </c>
      <c r="C2003" s="103" t="s">
        <v>113</v>
      </c>
      <c r="D2003" s="103" t="s">
        <v>3858</v>
      </c>
      <c r="E2003" s="103" t="s">
        <v>195</v>
      </c>
      <c r="F2003" s="103">
        <v>34.878933833300003</v>
      </c>
      <c r="G2003" s="103">
        <v>44.615644740299999</v>
      </c>
      <c r="H2003" s="102">
        <v>43</v>
      </c>
      <c r="I2003" s="102">
        <v>258</v>
      </c>
      <c r="J2003" s="103"/>
      <c r="K2003" s="103"/>
      <c r="L2003" s="103"/>
      <c r="M2003" s="103">
        <v>43</v>
      </c>
      <c r="N2003" s="103"/>
      <c r="O2003" s="103"/>
      <c r="P2003" s="103"/>
      <c r="Q2003" s="103"/>
      <c r="R2003" s="103"/>
      <c r="S2003" s="103"/>
      <c r="T2003" s="103"/>
      <c r="U2003" s="103"/>
      <c r="V2003" s="103"/>
      <c r="W2003" s="103"/>
      <c r="X2003" s="103"/>
      <c r="Y2003" s="103"/>
      <c r="Z2003" s="103"/>
      <c r="AA2003" s="103"/>
      <c r="AB2003" s="103"/>
      <c r="AC2003" s="103">
        <v>16</v>
      </c>
      <c r="AD2003" s="103"/>
      <c r="AE2003" s="103"/>
      <c r="AF2003" s="103"/>
      <c r="AG2003" s="103"/>
      <c r="AH2003" s="103"/>
      <c r="AI2003" s="103">
        <v>27</v>
      </c>
      <c r="AJ2003" s="103"/>
      <c r="AK2003" s="103"/>
      <c r="AL2003" s="103"/>
      <c r="AM2003" s="103"/>
      <c r="AN2003" s="103"/>
      <c r="AO2003" s="103"/>
      <c r="AP2003" s="103"/>
      <c r="AQ2003" s="103"/>
      <c r="AR2003" s="103"/>
      <c r="AS2003" s="103"/>
      <c r="AT2003" s="103">
        <v>43</v>
      </c>
      <c r="AU2003" s="103"/>
      <c r="AV2003" s="103"/>
      <c r="AW2003" s="104" t="str">
        <f>HYPERLINK("http://www.openstreetmap.org/?mlat=34.8789&amp;mlon=44.6156&amp;zoom=12#map=12/34.8789/44.6156","Maplink1")</f>
        <v>Maplink1</v>
      </c>
      <c r="AX2003" s="104" t="str">
        <f>HYPERLINK("https://www.google.iq/maps/search/+34.8789,44.6156/@34.8789,44.6156,14z?hl=en","Maplink2")</f>
        <v>Maplink2</v>
      </c>
      <c r="AY2003" s="104" t="str">
        <f>HYPERLINK("http://www.bing.com/maps/?lvl=14&amp;sty=h&amp;cp=34.8789~44.6156&amp;sp=point.34.8789_44.6156","Maplink3")</f>
        <v>Maplink3</v>
      </c>
    </row>
    <row r="2004" spans="1:51" x14ac:dyDescent="0.2">
      <c r="A2004" s="102">
        <v>20422</v>
      </c>
      <c r="B2004" s="103" t="s">
        <v>36</v>
      </c>
      <c r="C2004" s="103" t="s">
        <v>113</v>
      </c>
      <c r="D2004" s="103" t="s">
        <v>4017</v>
      </c>
      <c r="E2004" s="103" t="s">
        <v>4018</v>
      </c>
      <c r="F2004" s="103">
        <v>34.733611000000003</v>
      </c>
      <c r="G2004" s="103">
        <v>44.653055000000002</v>
      </c>
      <c r="H2004" s="102">
        <v>30</v>
      </c>
      <c r="I2004" s="102">
        <v>180</v>
      </c>
      <c r="J2004" s="103">
        <v>4</v>
      </c>
      <c r="K2004" s="103"/>
      <c r="L2004" s="103"/>
      <c r="M2004" s="103">
        <v>19</v>
      </c>
      <c r="N2004" s="103">
        <v>7</v>
      </c>
      <c r="O2004" s="103"/>
      <c r="P2004" s="103"/>
      <c r="Q2004" s="103"/>
      <c r="R2004" s="103"/>
      <c r="S2004" s="103"/>
      <c r="T2004" s="103"/>
      <c r="U2004" s="103"/>
      <c r="V2004" s="103"/>
      <c r="W2004" s="103"/>
      <c r="X2004" s="103"/>
      <c r="Y2004" s="103"/>
      <c r="Z2004" s="103"/>
      <c r="AA2004" s="103"/>
      <c r="AB2004" s="103"/>
      <c r="AC2004" s="103"/>
      <c r="AD2004" s="103"/>
      <c r="AE2004" s="103"/>
      <c r="AF2004" s="103"/>
      <c r="AG2004" s="103"/>
      <c r="AH2004" s="103"/>
      <c r="AI2004" s="103">
        <v>30</v>
      </c>
      <c r="AJ2004" s="103"/>
      <c r="AK2004" s="103"/>
      <c r="AL2004" s="103"/>
      <c r="AM2004" s="103"/>
      <c r="AN2004" s="103"/>
      <c r="AO2004" s="103">
        <v>30</v>
      </c>
      <c r="AP2004" s="103"/>
      <c r="AQ2004" s="103"/>
      <c r="AR2004" s="103"/>
      <c r="AS2004" s="103"/>
      <c r="AT2004" s="103"/>
      <c r="AU2004" s="103"/>
      <c r="AV2004" s="103"/>
      <c r="AW2004" s="104" t="str">
        <f>HYPERLINK("http://www.openstreetmap.org/?mlat=34.7336&amp;mlon=44.6531&amp;zoom=12#map=12/34.7336/44.6531","Maplink1")</f>
        <v>Maplink1</v>
      </c>
      <c r="AX2004" s="104" t="str">
        <f>HYPERLINK("https://www.google.iq/maps/search/+34.7336,44.6531/@34.7336,44.6531,14z?hl=en","Maplink2")</f>
        <v>Maplink2</v>
      </c>
      <c r="AY2004" s="104" t="str">
        <f>HYPERLINK("http://www.bing.com/maps/?lvl=14&amp;sty=h&amp;cp=34.7336~44.6531&amp;sp=point.34.7336_44.6531","Maplink3")</f>
        <v>Maplink3</v>
      </c>
    </row>
    <row r="2005" spans="1:51" x14ac:dyDescent="0.2">
      <c r="A2005" s="102">
        <v>27236</v>
      </c>
      <c r="B2005" s="103" t="s">
        <v>36</v>
      </c>
      <c r="C2005" s="103" t="s">
        <v>113</v>
      </c>
      <c r="D2005" s="103" t="s">
        <v>3867</v>
      </c>
      <c r="E2005" s="103" t="s">
        <v>254</v>
      </c>
      <c r="F2005" s="103">
        <v>34.727373999999998</v>
      </c>
      <c r="G2005" s="103">
        <v>44.58222</v>
      </c>
      <c r="H2005" s="102">
        <v>45</v>
      </c>
      <c r="I2005" s="102">
        <v>270</v>
      </c>
      <c r="J2005" s="103"/>
      <c r="K2005" s="103"/>
      <c r="L2005" s="103"/>
      <c r="M2005" s="103">
        <v>45</v>
      </c>
      <c r="N2005" s="103"/>
      <c r="O2005" s="103"/>
      <c r="P2005" s="103"/>
      <c r="Q2005" s="103"/>
      <c r="R2005" s="103"/>
      <c r="S2005" s="103"/>
      <c r="T2005" s="103"/>
      <c r="U2005" s="103"/>
      <c r="V2005" s="103"/>
      <c r="W2005" s="103"/>
      <c r="X2005" s="103"/>
      <c r="Y2005" s="103"/>
      <c r="Z2005" s="103"/>
      <c r="AA2005" s="103"/>
      <c r="AB2005" s="103">
        <v>10</v>
      </c>
      <c r="AC2005" s="103">
        <v>10</v>
      </c>
      <c r="AD2005" s="103"/>
      <c r="AE2005" s="103"/>
      <c r="AF2005" s="103">
        <v>5</v>
      </c>
      <c r="AG2005" s="103"/>
      <c r="AH2005" s="103"/>
      <c r="AI2005" s="103">
        <v>20</v>
      </c>
      <c r="AJ2005" s="103"/>
      <c r="AK2005" s="103"/>
      <c r="AL2005" s="103"/>
      <c r="AM2005" s="103">
        <v>45</v>
      </c>
      <c r="AN2005" s="103"/>
      <c r="AO2005" s="103"/>
      <c r="AP2005" s="103"/>
      <c r="AQ2005" s="103"/>
      <c r="AR2005" s="103"/>
      <c r="AS2005" s="103"/>
      <c r="AT2005" s="103"/>
      <c r="AU2005" s="103"/>
      <c r="AV2005" s="103"/>
      <c r="AW2005" s="104" t="str">
        <f>HYPERLINK("http://www.openstreetmap.org/?mlat=34.7274&amp;mlon=44.5822&amp;zoom=12#map=12/34.7274/44.5822","Maplink1")</f>
        <v>Maplink1</v>
      </c>
      <c r="AX2005" s="104" t="str">
        <f>HYPERLINK("https://www.google.iq/maps/search/+34.7274,44.5822/@34.7274,44.5822,14z?hl=en","Maplink2")</f>
        <v>Maplink2</v>
      </c>
      <c r="AY2005" s="104" t="str">
        <f>HYPERLINK("http://www.bing.com/maps/?lvl=14&amp;sty=h&amp;cp=34.7274~44.5822&amp;sp=point.34.7274_44.5822","Maplink3")</f>
        <v>Maplink3</v>
      </c>
    </row>
    <row r="2006" spans="1:51" x14ac:dyDescent="0.2">
      <c r="A2006" s="102">
        <v>27240</v>
      </c>
      <c r="B2006" s="103" t="s">
        <v>36</v>
      </c>
      <c r="C2006" s="103" t="s">
        <v>113</v>
      </c>
      <c r="D2006" s="103" t="s">
        <v>3852</v>
      </c>
      <c r="E2006" s="103" t="s">
        <v>3853</v>
      </c>
      <c r="F2006" s="103">
        <v>34.724910000000001</v>
      </c>
      <c r="G2006" s="103">
        <v>44.590226000000001</v>
      </c>
      <c r="H2006" s="102">
        <v>20</v>
      </c>
      <c r="I2006" s="102">
        <v>120</v>
      </c>
      <c r="J2006" s="103"/>
      <c r="K2006" s="103"/>
      <c r="L2006" s="103"/>
      <c r="M2006" s="103">
        <v>20</v>
      </c>
      <c r="N2006" s="103"/>
      <c r="O2006" s="103"/>
      <c r="P2006" s="103"/>
      <c r="Q2006" s="103"/>
      <c r="R2006" s="103"/>
      <c r="S2006" s="103"/>
      <c r="T2006" s="103"/>
      <c r="U2006" s="103"/>
      <c r="V2006" s="103"/>
      <c r="W2006" s="103"/>
      <c r="X2006" s="103"/>
      <c r="Y2006" s="103"/>
      <c r="Z2006" s="103"/>
      <c r="AA2006" s="103"/>
      <c r="AB2006" s="103"/>
      <c r="AC2006" s="103">
        <v>5</v>
      </c>
      <c r="AD2006" s="103"/>
      <c r="AE2006" s="103"/>
      <c r="AF2006" s="103">
        <v>5</v>
      </c>
      <c r="AG2006" s="103"/>
      <c r="AH2006" s="103"/>
      <c r="AI2006" s="103">
        <v>10</v>
      </c>
      <c r="AJ2006" s="103"/>
      <c r="AK2006" s="103"/>
      <c r="AL2006" s="103"/>
      <c r="AM2006" s="103">
        <v>20</v>
      </c>
      <c r="AN2006" s="103"/>
      <c r="AO2006" s="103"/>
      <c r="AP2006" s="103"/>
      <c r="AQ2006" s="103"/>
      <c r="AR2006" s="103"/>
      <c r="AS2006" s="103"/>
      <c r="AT2006" s="103"/>
      <c r="AU2006" s="103"/>
      <c r="AV2006" s="103"/>
      <c r="AW2006" s="104" t="str">
        <f>HYPERLINK("http://www.openstreetmap.org/?mlat=34.7249&amp;mlon=44.5902&amp;zoom=12#map=12/34.7249/44.5902","Maplink1")</f>
        <v>Maplink1</v>
      </c>
      <c r="AX2006" s="104" t="str">
        <f>HYPERLINK("https://www.google.iq/maps/search/+34.7249,44.5902/@34.7249,44.5902,14z?hl=en","Maplink2")</f>
        <v>Maplink2</v>
      </c>
      <c r="AY2006" s="104" t="str">
        <f>HYPERLINK("http://www.bing.com/maps/?lvl=14&amp;sty=h&amp;cp=34.7249~44.5902&amp;sp=point.34.7249_44.5902","Maplink3")</f>
        <v>Maplink3</v>
      </c>
    </row>
    <row r="2007" spans="1:51" x14ac:dyDescent="0.2">
      <c r="A2007" s="102">
        <v>33223</v>
      </c>
      <c r="B2007" s="103" t="s">
        <v>36</v>
      </c>
      <c r="C2007" s="103" t="s">
        <v>113</v>
      </c>
      <c r="D2007" s="103" t="s">
        <v>3854</v>
      </c>
      <c r="E2007" s="103" t="s">
        <v>3855</v>
      </c>
      <c r="F2007" s="103">
        <v>34.971948352299997</v>
      </c>
      <c r="G2007" s="103">
        <v>44.482028544099997</v>
      </c>
      <c r="H2007" s="102">
        <v>140</v>
      </c>
      <c r="I2007" s="102">
        <v>840</v>
      </c>
      <c r="J2007" s="103"/>
      <c r="K2007" s="103"/>
      <c r="L2007" s="103"/>
      <c r="M2007" s="103">
        <v>140</v>
      </c>
      <c r="N2007" s="103"/>
      <c r="O2007" s="103"/>
      <c r="P2007" s="103"/>
      <c r="Q2007" s="103"/>
      <c r="R2007" s="103"/>
      <c r="S2007" s="103"/>
      <c r="T2007" s="103"/>
      <c r="U2007" s="103"/>
      <c r="V2007" s="103"/>
      <c r="W2007" s="103"/>
      <c r="X2007" s="103"/>
      <c r="Y2007" s="103"/>
      <c r="Z2007" s="103"/>
      <c r="AA2007" s="103"/>
      <c r="AB2007" s="103"/>
      <c r="AC2007" s="103"/>
      <c r="AD2007" s="103"/>
      <c r="AE2007" s="103"/>
      <c r="AF2007" s="103"/>
      <c r="AG2007" s="103"/>
      <c r="AH2007" s="103"/>
      <c r="AI2007" s="103">
        <v>140</v>
      </c>
      <c r="AJ2007" s="103"/>
      <c r="AK2007" s="103"/>
      <c r="AL2007" s="103"/>
      <c r="AM2007" s="103"/>
      <c r="AN2007" s="103"/>
      <c r="AO2007" s="103"/>
      <c r="AP2007" s="103"/>
      <c r="AQ2007" s="103"/>
      <c r="AR2007" s="103"/>
      <c r="AS2007" s="103"/>
      <c r="AT2007" s="103">
        <v>140</v>
      </c>
      <c r="AU2007" s="103"/>
      <c r="AV2007" s="103"/>
      <c r="AW2007" s="104" t="str">
        <f>HYPERLINK("http://www.openstreetmap.org/?mlat=34.9719&amp;mlon=44.482&amp;zoom=12#map=12/34.9719/44.482","Maplink1")</f>
        <v>Maplink1</v>
      </c>
      <c r="AX2007" s="104" t="str">
        <f>HYPERLINK("https://www.google.iq/maps/search/+34.9719,44.482/@34.9719,44.482,14z?hl=en","Maplink2")</f>
        <v>Maplink2</v>
      </c>
      <c r="AY2007" s="104" t="str">
        <f>HYPERLINK("http://www.bing.com/maps/?lvl=14&amp;sty=h&amp;cp=34.9719~44.482&amp;sp=point.34.9719_44.482","Maplink3")</f>
        <v>Maplink3</v>
      </c>
    </row>
    <row r="2008" spans="1:51" x14ac:dyDescent="0.2">
      <c r="A2008" s="102">
        <v>25755</v>
      </c>
      <c r="B2008" s="103" t="s">
        <v>36</v>
      </c>
      <c r="C2008" s="103" t="s">
        <v>113</v>
      </c>
      <c r="D2008" s="103" t="s">
        <v>3837</v>
      </c>
      <c r="E2008" s="103" t="s">
        <v>3838</v>
      </c>
      <c r="F2008" s="103">
        <v>34.881868760000003</v>
      </c>
      <c r="G2008" s="103">
        <v>44.624364183300003</v>
      </c>
      <c r="H2008" s="102">
        <v>150</v>
      </c>
      <c r="I2008" s="102">
        <v>900</v>
      </c>
      <c r="J2008" s="103"/>
      <c r="K2008" s="103"/>
      <c r="L2008" s="103"/>
      <c r="M2008" s="103">
        <v>150</v>
      </c>
      <c r="N2008" s="103"/>
      <c r="O2008" s="103"/>
      <c r="P2008" s="103"/>
      <c r="Q2008" s="103"/>
      <c r="R2008" s="103"/>
      <c r="S2008" s="103"/>
      <c r="T2008" s="103"/>
      <c r="U2008" s="103"/>
      <c r="V2008" s="103"/>
      <c r="W2008" s="103"/>
      <c r="X2008" s="103"/>
      <c r="Y2008" s="103"/>
      <c r="Z2008" s="103"/>
      <c r="AA2008" s="103"/>
      <c r="AB2008" s="103"/>
      <c r="AC2008" s="103"/>
      <c r="AD2008" s="103"/>
      <c r="AE2008" s="103"/>
      <c r="AF2008" s="103"/>
      <c r="AG2008" s="103"/>
      <c r="AH2008" s="103"/>
      <c r="AI2008" s="103">
        <v>150</v>
      </c>
      <c r="AJ2008" s="103"/>
      <c r="AK2008" s="103"/>
      <c r="AL2008" s="103"/>
      <c r="AM2008" s="103"/>
      <c r="AN2008" s="103"/>
      <c r="AO2008" s="103"/>
      <c r="AP2008" s="103"/>
      <c r="AQ2008" s="103"/>
      <c r="AR2008" s="103"/>
      <c r="AS2008" s="103"/>
      <c r="AT2008" s="103">
        <v>150</v>
      </c>
      <c r="AU2008" s="103"/>
      <c r="AV2008" s="103"/>
      <c r="AW2008" s="104" t="str">
        <f>HYPERLINK("http://www.openstreetmap.org/?mlat=34.8819&amp;mlon=44.6244&amp;zoom=12#map=12/34.8819/44.6244","Maplink1")</f>
        <v>Maplink1</v>
      </c>
      <c r="AX2008" s="104" t="str">
        <f>HYPERLINK("https://www.google.iq/maps/search/+34.8819,44.6244/@34.8819,44.6244,14z?hl=en","Maplink2")</f>
        <v>Maplink2</v>
      </c>
      <c r="AY2008" s="104" t="str">
        <f>HYPERLINK("http://www.bing.com/maps/?lvl=14&amp;sty=h&amp;cp=34.8819~44.6244&amp;sp=point.34.8819_44.6244","Maplink3")</f>
        <v>Maplink3</v>
      </c>
    </row>
    <row r="2009" spans="1:51" x14ac:dyDescent="0.2">
      <c r="A2009" s="102">
        <v>25866</v>
      </c>
      <c r="B2009" s="103" t="s">
        <v>36</v>
      </c>
      <c r="C2009" s="103" t="s">
        <v>113</v>
      </c>
      <c r="D2009" s="103" t="s">
        <v>3845</v>
      </c>
      <c r="E2009" s="103" t="s">
        <v>3846</v>
      </c>
      <c r="F2009" s="103">
        <v>34.8963111574</v>
      </c>
      <c r="G2009" s="103">
        <v>44.626185619600001</v>
      </c>
      <c r="H2009" s="102">
        <v>2488</v>
      </c>
      <c r="I2009" s="102">
        <v>14928</v>
      </c>
      <c r="J2009" s="103">
        <v>18</v>
      </c>
      <c r="K2009" s="103"/>
      <c r="L2009" s="103"/>
      <c r="M2009" s="103">
        <v>2462</v>
      </c>
      <c r="N2009" s="103">
        <v>8</v>
      </c>
      <c r="O2009" s="103"/>
      <c r="P2009" s="103"/>
      <c r="Q2009" s="103"/>
      <c r="R2009" s="103"/>
      <c r="S2009" s="103"/>
      <c r="T2009" s="103"/>
      <c r="U2009" s="103"/>
      <c r="V2009" s="103"/>
      <c r="W2009" s="103"/>
      <c r="X2009" s="103"/>
      <c r="Y2009" s="103"/>
      <c r="Z2009" s="103"/>
      <c r="AA2009" s="103"/>
      <c r="AB2009" s="103"/>
      <c r="AC2009" s="103">
        <v>410</v>
      </c>
      <c r="AD2009" s="103"/>
      <c r="AE2009" s="103"/>
      <c r="AF2009" s="103"/>
      <c r="AG2009" s="103"/>
      <c r="AH2009" s="103"/>
      <c r="AI2009" s="103">
        <v>747</v>
      </c>
      <c r="AJ2009" s="103">
        <v>1331</v>
      </c>
      <c r="AK2009" s="103"/>
      <c r="AL2009" s="103"/>
      <c r="AM2009" s="103"/>
      <c r="AN2009" s="103"/>
      <c r="AO2009" s="103"/>
      <c r="AP2009" s="103"/>
      <c r="AQ2009" s="103"/>
      <c r="AR2009" s="103"/>
      <c r="AS2009" s="103"/>
      <c r="AT2009" s="103">
        <v>2488</v>
      </c>
      <c r="AU2009" s="103"/>
      <c r="AV2009" s="103"/>
      <c r="AW2009" s="104" t="str">
        <f>HYPERLINK("http://www.openstreetmap.org/?mlat=34.8963&amp;mlon=44.6262&amp;zoom=12#map=12/34.8963/44.6262","Maplink1")</f>
        <v>Maplink1</v>
      </c>
      <c r="AX2009" s="104" t="str">
        <f>HYPERLINK("https://www.google.iq/maps/search/+34.8963,44.6262/@34.8963,44.6262,14z?hl=en","Maplink2")</f>
        <v>Maplink2</v>
      </c>
      <c r="AY2009" s="104" t="str">
        <f>HYPERLINK("http://www.bing.com/maps/?lvl=14&amp;sty=h&amp;cp=34.8963~44.6262&amp;sp=point.34.8963_44.6262","Maplink3")</f>
        <v>Maplink3</v>
      </c>
    </row>
    <row r="2010" spans="1:51" x14ac:dyDescent="0.2">
      <c r="A2010" s="102">
        <v>27238</v>
      </c>
      <c r="B2010" s="103" t="s">
        <v>36</v>
      </c>
      <c r="C2010" s="103" t="s">
        <v>113</v>
      </c>
      <c r="D2010" s="103" t="s">
        <v>3847</v>
      </c>
      <c r="E2010" s="103" t="s">
        <v>3848</v>
      </c>
      <c r="F2010" s="103">
        <v>34.722593000000003</v>
      </c>
      <c r="G2010" s="103">
        <v>44.583936999999999</v>
      </c>
      <c r="H2010" s="102">
        <v>25</v>
      </c>
      <c r="I2010" s="102">
        <v>150</v>
      </c>
      <c r="J2010" s="103"/>
      <c r="K2010" s="103"/>
      <c r="L2010" s="103"/>
      <c r="M2010" s="103">
        <v>25</v>
      </c>
      <c r="N2010" s="103"/>
      <c r="O2010" s="103"/>
      <c r="P2010" s="103"/>
      <c r="Q2010" s="103"/>
      <c r="R2010" s="103"/>
      <c r="S2010" s="103"/>
      <c r="T2010" s="103"/>
      <c r="U2010" s="103"/>
      <c r="V2010" s="103"/>
      <c r="W2010" s="103">
        <v>5</v>
      </c>
      <c r="X2010" s="103"/>
      <c r="Y2010" s="103"/>
      <c r="Z2010" s="103"/>
      <c r="AA2010" s="103"/>
      <c r="AB2010" s="103">
        <v>5</v>
      </c>
      <c r="AC2010" s="103">
        <v>5</v>
      </c>
      <c r="AD2010" s="103"/>
      <c r="AE2010" s="103"/>
      <c r="AF2010" s="103">
        <v>3</v>
      </c>
      <c r="AG2010" s="103"/>
      <c r="AH2010" s="103"/>
      <c r="AI2010" s="103">
        <v>7</v>
      </c>
      <c r="AJ2010" s="103"/>
      <c r="AK2010" s="103"/>
      <c r="AL2010" s="103"/>
      <c r="AM2010" s="103">
        <v>25</v>
      </c>
      <c r="AN2010" s="103"/>
      <c r="AO2010" s="103"/>
      <c r="AP2010" s="103"/>
      <c r="AQ2010" s="103"/>
      <c r="AR2010" s="103"/>
      <c r="AS2010" s="103"/>
      <c r="AT2010" s="103"/>
      <c r="AU2010" s="103"/>
      <c r="AV2010" s="103"/>
      <c r="AW2010" s="104" t="str">
        <f>HYPERLINK("http://www.openstreetmap.org/?mlat=34.7226&amp;mlon=44.5839&amp;zoom=12#map=12/34.7226/44.5839","Maplink1")</f>
        <v>Maplink1</v>
      </c>
      <c r="AX2010" s="104" t="str">
        <f>HYPERLINK("https://www.google.iq/maps/search/+34.7226,44.5839/@34.7226,44.5839,14z?hl=en","Maplink2")</f>
        <v>Maplink2</v>
      </c>
      <c r="AY2010" s="104" t="str">
        <f>HYPERLINK("http://www.bing.com/maps/?lvl=14&amp;sty=h&amp;cp=34.7226~44.5839&amp;sp=point.34.7226_44.5839","Maplink3")</f>
        <v>Maplink3</v>
      </c>
    </row>
    <row r="2011" spans="1:51" x14ac:dyDescent="0.2">
      <c r="A2011" s="102">
        <v>25868</v>
      </c>
      <c r="B2011" s="103" t="s">
        <v>36</v>
      </c>
      <c r="C2011" s="103" t="s">
        <v>113</v>
      </c>
      <c r="D2011" s="103" t="s">
        <v>3839</v>
      </c>
      <c r="E2011" s="103" t="s">
        <v>3840</v>
      </c>
      <c r="F2011" s="103">
        <v>34.886701491499998</v>
      </c>
      <c r="G2011" s="103">
        <v>44.641148671899998</v>
      </c>
      <c r="H2011" s="102">
        <v>1231</v>
      </c>
      <c r="I2011" s="102">
        <v>7386</v>
      </c>
      <c r="J2011" s="103">
        <v>52</v>
      </c>
      <c r="K2011" s="103"/>
      <c r="L2011" s="103"/>
      <c r="M2011" s="103">
        <v>1151</v>
      </c>
      <c r="N2011" s="103">
        <v>28</v>
      </c>
      <c r="O2011" s="103"/>
      <c r="P2011" s="103"/>
      <c r="Q2011" s="103"/>
      <c r="R2011" s="103"/>
      <c r="S2011" s="103"/>
      <c r="T2011" s="103"/>
      <c r="U2011" s="103"/>
      <c r="V2011" s="103"/>
      <c r="W2011" s="103"/>
      <c r="X2011" s="103"/>
      <c r="Y2011" s="103"/>
      <c r="Z2011" s="103"/>
      <c r="AA2011" s="103"/>
      <c r="AB2011" s="103"/>
      <c r="AC2011" s="103">
        <v>322</v>
      </c>
      <c r="AD2011" s="103"/>
      <c r="AE2011" s="103"/>
      <c r="AF2011" s="103"/>
      <c r="AG2011" s="103"/>
      <c r="AH2011" s="103"/>
      <c r="AI2011" s="103">
        <v>150</v>
      </c>
      <c r="AJ2011" s="103">
        <v>759</v>
      </c>
      <c r="AK2011" s="103"/>
      <c r="AL2011" s="103"/>
      <c r="AM2011" s="103"/>
      <c r="AN2011" s="103"/>
      <c r="AO2011" s="103"/>
      <c r="AP2011" s="103"/>
      <c r="AQ2011" s="103"/>
      <c r="AR2011" s="103"/>
      <c r="AS2011" s="103"/>
      <c r="AT2011" s="103">
        <v>1231</v>
      </c>
      <c r="AU2011" s="103"/>
      <c r="AV2011" s="103"/>
      <c r="AW2011" s="104" t="str">
        <f>HYPERLINK("http://www.openstreetmap.org/?mlat=34.8867&amp;mlon=44.6411&amp;zoom=12#map=12/34.8867/44.6411","Maplink1")</f>
        <v>Maplink1</v>
      </c>
      <c r="AX2011" s="104" t="str">
        <f>HYPERLINK("https://www.google.iq/maps/search/+34.8867,44.6411/@34.8867,44.6411,14z?hl=en","Maplink2")</f>
        <v>Maplink2</v>
      </c>
      <c r="AY2011" s="104" t="str">
        <f>HYPERLINK("http://www.bing.com/maps/?lvl=14&amp;sty=h&amp;cp=34.8867~44.6411&amp;sp=point.34.8867_44.6411","Maplink3")</f>
        <v>Maplink3</v>
      </c>
    </row>
    <row r="2012" spans="1:51" x14ac:dyDescent="0.2">
      <c r="A2012" s="102">
        <v>20425</v>
      </c>
      <c r="B2012" s="103" t="s">
        <v>36</v>
      </c>
      <c r="C2012" s="103" t="s">
        <v>113</v>
      </c>
      <c r="D2012" s="103" t="s">
        <v>3841</v>
      </c>
      <c r="E2012" s="103" t="s">
        <v>3842</v>
      </c>
      <c r="F2012" s="103">
        <v>34.796410000000002</v>
      </c>
      <c r="G2012" s="103">
        <v>44.584961999999997</v>
      </c>
      <c r="H2012" s="102">
        <v>351</v>
      </c>
      <c r="I2012" s="102">
        <v>2106</v>
      </c>
      <c r="J2012" s="103"/>
      <c r="K2012" s="103"/>
      <c r="L2012" s="103"/>
      <c r="M2012" s="103">
        <v>351</v>
      </c>
      <c r="N2012" s="103"/>
      <c r="O2012" s="103"/>
      <c r="P2012" s="103"/>
      <c r="Q2012" s="103"/>
      <c r="R2012" s="103"/>
      <c r="S2012" s="103"/>
      <c r="T2012" s="103"/>
      <c r="U2012" s="103"/>
      <c r="V2012" s="103"/>
      <c r="W2012" s="103">
        <v>21</v>
      </c>
      <c r="X2012" s="103"/>
      <c r="Y2012" s="103"/>
      <c r="Z2012" s="103"/>
      <c r="AA2012" s="103"/>
      <c r="AB2012" s="103">
        <v>130</v>
      </c>
      <c r="AC2012" s="103">
        <v>100</v>
      </c>
      <c r="AD2012" s="103"/>
      <c r="AE2012" s="103"/>
      <c r="AF2012" s="103">
        <v>40</v>
      </c>
      <c r="AG2012" s="103"/>
      <c r="AH2012" s="103"/>
      <c r="AI2012" s="103">
        <v>60</v>
      </c>
      <c r="AJ2012" s="103"/>
      <c r="AK2012" s="103"/>
      <c r="AL2012" s="103"/>
      <c r="AM2012" s="103">
        <v>300</v>
      </c>
      <c r="AN2012" s="103">
        <v>51</v>
      </c>
      <c r="AO2012" s="103"/>
      <c r="AP2012" s="103"/>
      <c r="AQ2012" s="103"/>
      <c r="AR2012" s="103"/>
      <c r="AS2012" s="103"/>
      <c r="AT2012" s="103"/>
      <c r="AU2012" s="103"/>
      <c r="AV2012" s="103"/>
      <c r="AW2012" s="104" t="str">
        <f>HYPERLINK("http://www.openstreetmap.org/?mlat=34.7964&amp;mlon=44.585&amp;zoom=12#map=12/34.7964/44.585","Maplink1")</f>
        <v>Maplink1</v>
      </c>
      <c r="AX2012" s="104" t="str">
        <f>HYPERLINK("https://www.google.iq/maps/search/+34.7964,44.585/@34.7964,44.585,14z?hl=en","Maplink2")</f>
        <v>Maplink2</v>
      </c>
      <c r="AY2012" s="104" t="str">
        <f>HYPERLINK("http://www.bing.com/maps/?lvl=14&amp;sty=h&amp;cp=34.7964~44.585&amp;sp=point.34.7964_44.585","Maplink3")</f>
        <v>Maplink3</v>
      </c>
    </row>
    <row r="2013" spans="1:51" x14ac:dyDescent="0.2">
      <c r="A2013" s="102">
        <v>20429</v>
      </c>
      <c r="B2013" s="103" t="s">
        <v>36</v>
      </c>
      <c r="C2013" s="103" t="s">
        <v>113</v>
      </c>
      <c r="D2013" s="103" t="s">
        <v>3868</v>
      </c>
      <c r="E2013" s="103" t="s">
        <v>3869</v>
      </c>
      <c r="F2013" s="103">
        <v>34.647632999999999</v>
      </c>
      <c r="G2013" s="103">
        <v>44.648829797600001</v>
      </c>
      <c r="H2013" s="102">
        <v>54</v>
      </c>
      <c r="I2013" s="102">
        <v>324</v>
      </c>
      <c r="J2013" s="103">
        <v>10</v>
      </c>
      <c r="K2013" s="103"/>
      <c r="L2013" s="103"/>
      <c r="M2013" s="103">
        <v>31</v>
      </c>
      <c r="N2013" s="103">
        <v>13</v>
      </c>
      <c r="O2013" s="103"/>
      <c r="P2013" s="103"/>
      <c r="Q2013" s="103"/>
      <c r="R2013" s="103"/>
      <c r="S2013" s="103"/>
      <c r="T2013" s="103"/>
      <c r="U2013" s="103"/>
      <c r="V2013" s="103"/>
      <c r="W2013" s="103"/>
      <c r="X2013" s="103"/>
      <c r="Y2013" s="103"/>
      <c r="Z2013" s="103"/>
      <c r="AA2013" s="103"/>
      <c r="AB2013" s="103"/>
      <c r="AC2013" s="103">
        <v>8</v>
      </c>
      <c r="AD2013" s="103"/>
      <c r="AE2013" s="103"/>
      <c r="AF2013" s="103"/>
      <c r="AG2013" s="103"/>
      <c r="AH2013" s="103"/>
      <c r="AI2013" s="103">
        <v>46</v>
      </c>
      <c r="AJ2013" s="103"/>
      <c r="AK2013" s="103"/>
      <c r="AL2013" s="103"/>
      <c r="AM2013" s="103"/>
      <c r="AN2013" s="103">
        <v>5</v>
      </c>
      <c r="AO2013" s="103">
        <v>49</v>
      </c>
      <c r="AP2013" s="103"/>
      <c r="AQ2013" s="103"/>
      <c r="AR2013" s="103"/>
      <c r="AS2013" s="103"/>
      <c r="AT2013" s="103"/>
      <c r="AU2013" s="103"/>
      <c r="AV2013" s="103"/>
      <c r="AW2013" s="104" t="str">
        <f>HYPERLINK("http://www.openstreetmap.org/?mlat=34.6476&amp;mlon=44.6488&amp;zoom=12#map=12/34.6476/44.6488","Maplink1")</f>
        <v>Maplink1</v>
      </c>
      <c r="AX2013" s="104" t="str">
        <f>HYPERLINK("https://www.google.iq/maps/search/+34.6476,44.6488/@34.6476,44.6488,14z?hl=en","Maplink2")</f>
        <v>Maplink2</v>
      </c>
      <c r="AY2013" s="104" t="str">
        <f>HYPERLINK("http://www.bing.com/maps/?lvl=14&amp;sty=h&amp;cp=34.6476~44.6488&amp;sp=point.34.6476_44.6488","Maplink3")</f>
        <v>Maplink3</v>
      </c>
    </row>
    <row r="2014" spans="1:51" x14ac:dyDescent="0.2">
      <c r="A2014" s="102">
        <v>21103</v>
      </c>
      <c r="B2014" s="103" t="s">
        <v>36</v>
      </c>
      <c r="C2014" s="103" t="s">
        <v>113</v>
      </c>
      <c r="D2014" s="103" t="s">
        <v>3856</v>
      </c>
      <c r="E2014" s="103" t="s">
        <v>3857</v>
      </c>
      <c r="F2014" s="103">
        <v>34.856383000000001</v>
      </c>
      <c r="G2014" s="103">
        <v>44.571920831299998</v>
      </c>
      <c r="H2014" s="102">
        <v>169</v>
      </c>
      <c r="I2014" s="102">
        <v>1014</v>
      </c>
      <c r="J2014" s="103">
        <v>12</v>
      </c>
      <c r="K2014" s="103"/>
      <c r="L2014" s="103"/>
      <c r="M2014" s="103">
        <v>133</v>
      </c>
      <c r="N2014" s="103">
        <v>24</v>
      </c>
      <c r="O2014" s="103"/>
      <c r="P2014" s="103"/>
      <c r="Q2014" s="103"/>
      <c r="R2014" s="103"/>
      <c r="S2014" s="103"/>
      <c r="T2014" s="103"/>
      <c r="U2014" s="103"/>
      <c r="V2014" s="103"/>
      <c r="W2014" s="103"/>
      <c r="X2014" s="103"/>
      <c r="Y2014" s="103"/>
      <c r="Z2014" s="103"/>
      <c r="AA2014" s="103"/>
      <c r="AB2014" s="103"/>
      <c r="AC2014" s="103">
        <v>73</v>
      </c>
      <c r="AD2014" s="103"/>
      <c r="AE2014" s="103"/>
      <c r="AF2014" s="103"/>
      <c r="AG2014" s="103"/>
      <c r="AH2014" s="103"/>
      <c r="AI2014" s="103">
        <v>96</v>
      </c>
      <c r="AJ2014" s="103"/>
      <c r="AK2014" s="103"/>
      <c r="AL2014" s="103"/>
      <c r="AM2014" s="103">
        <v>5</v>
      </c>
      <c r="AN2014" s="103">
        <v>63</v>
      </c>
      <c r="AO2014" s="103">
        <v>98</v>
      </c>
      <c r="AP2014" s="103">
        <v>3</v>
      </c>
      <c r="AQ2014" s="103"/>
      <c r="AR2014" s="103"/>
      <c r="AS2014" s="103"/>
      <c r="AT2014" s="103"/>
      <c r="AU2014" s="103"/>
      <c r="AV2014" s="103"/>
      <c r="AW2014" s="104" t="str">
        <f>HYPERLINK("http://www.openstreetmap.org/?mlat=34.8564&amp;mlon=44.5719&amp;zoom=12#map=12/34.8564/44.5719","Maplink1")</f>
        <v>Maplink1</v>
      </c>
      <c r="AX2014" s="104" t="str">
        <f>HYPERLINK("https://www.google.iq/maps/search/+34.8564,44.5719/@34.8564,44.5719,14z?hl=en","Maplink2")</f>
        <v>Maplink2</v>
      </c>
      <c r="AY2014" s="104" t="str">
        <f>HYPERLINK("http://www.bing.com/maps/?lvl=14&amp;sty=h&amp;cp=34.8564~44.5719&amp;sp=point.34.8564_44.5719","Maplink3")</f>
        <v>Maplink3</v>
      </c>
    </row>
    <row r="2015" spans="1:51" x14ac:dyDescent="0.2">
      <c r="A2015" s="102">
        <v>25751</v>
      </c>
      <c r="B2015" s="103" t="s">
        <v>36</v>
      </c>
      <c r="C2015" s="103" t="s">
        <v>113</v>
      </c>
      <c r="D2015" s="103" t="s">
        <v>3823</v>
      </c>
      <c r="E2015" s="103" t="s">
        <v>3824</v>
      </c>
      <c r="F2015" s="103">
        <v>34.883815758499999</v>
      </c>
      <c r="G2015" s="103">
        <v>44.631514324400001</v>
      </c>
      <c r="H2015" s="102">
        <v>90</v>
      </c>
      <c r="I2015" s="102">
        <v>540</v>
      </c>
      <c r="J2015" s="103"/>
      <c r="K2015" s="103"/>
      <c r="L2015" s="103"/>
      <c r="M2015" s="103">
        <v>90</v>
      </c>
      <c r="N2015" s="103"/>
      <c r="O2015" s="103"/>
      <c r="P2015" s="103"/>
      <c r="Q2015" s="103"/>
      <c r="R2015" s="103"/>
      <c r="S2015" s="103"/>
      <c r="T2015" s="103"/>
      <c r="U2015" s="103"/>
      <c r="V2015" s="103"/>
      <c r="W2015" s="103"/>
      <c r="X2015" s="103"/>
      <c r="Y2015" s="103"/>
      <c r="Z2015" s="103"/>
      <c r="AA2015" s="103"/>
      <c r="AB2015" s="103"/>
      <c r="AC2015" s="103"/>
      <c r="AD2015" s="103"/>
      <c r="AE2015" s="103"/>
      <c r="AF2015" s="103"/>
      <c r="AG2015" s="103"/>
      <c r="AH2015" s="103"/>
      <c r="AI2015" s="103">
        <v>90</v>
      </c>
      <c r="AJ2015" s="103"/>
      <c r="AK2015" s="103"/>
      <c r="AL2015" s="103"/>
      <c r="AM2015" s="103"/>
      <c r="AN2015" s="103"/>
      <c r="AO2015" s="103"/>
      <c r="AP2015" s="103"/>
      <c r="AQ2015" s="103"/>
      <c r="AR2015" s="103"/>
      <c r="AS2015" s="103"/>
      <c r="AT2015" s="103">
        <v>90</v>
      </c>
      <c r="AU2015" s="103"/>
      <c r="AV2015" s="103"/>
      <c r="AW2015" s="104" t="str">
        <f>HYPERLINK("http://www.openstreetmap.org/?mlat=34.8838&amp;mlon=44.6315&amp;zoom=12#map=12/34.8838/44.6315","Maplink1")</f>
        <v>Maplink1</v>
      </c>
      <c r="AX2015" s="104" t="str">
        <f>HYPERLINK("https://www.google.iq/maps/search/+34.8838,44.6315/@34.8838,44.6315,14z?hl=en","Maplink2")</f>
        <v>Maplink2</v>
      </c>
      <c r="AY2015" s="104" t="str">
        <f>HYPERLINK("http://www.bing.com/maps/?lvl=14&amp;sty=h&amp;cp=34.8838~44.6315&amp;sp=point.34.8838_44.6315","Maplink3")</f>
        <v>Maplink3</v>
      </c>
    </row>
    <row r="2016" spans="1:51" x14ac:dyDescent="0.2">
      <c r="A2016" s="102">
        <v>20463</v>
      </c>
      <c r="B2016" s="103" t="s">
        <v>36</v>
      </c>
      <c r="C2016" s="103" t="s">
        <v>113</v>
      </c>
      <c r="D2016" s="103" t="s">
        <v>3825</v>
      </c>
      <c r="E2016" s="103" t="s">
        <v>3826</v>
      </c>
      <c r="F2016" s="103">
        <v>34.777810000000002</v>
      </c>
      <c r="G2016" s="103">
        <v>44.451473999999997</v>
      </c>
      <c r="H2016" s="102">
        <v>8</v>
      </c>
      <c r="I2016" s="102">
        <v>48</v>
      </c>
      <c r="J2016" s="103"/>
      <c r="K2016" s="103"/>
      <c r="L2016" s="103"/>
      <c r="M2016" s="103">
        <v>5</v>
      </c>
      <c r="N2016" s="103">
        <v>3</v>
      </c>
      <c r="O2016" s="103"/>
      <c r="P2016" s="103"/>
      <c r="Q2016" s="103"/>
      <c r="R2016" s="103"/>
      <c r="S2016" s="103"/>
      <c r="T2016" s="103"/>
      <c r="U2016" s="103"/>
      <c r="V2016" s="103"/>
      <c r="W2016" s="103"/>
      <c r="X2016" s="103"/>
      <c r="Y2016" s="103"/>
      <c r="Z2016" s="103"/>
      <c r="AA2016" s="103"/>
      <c r="AB2016" s="103"/>
      <c r="AC2016" s="103"/>
      <c r="AD2016" s="103"/>
      <c r="AE2016" s="103"/>
      <c r="AF2016" s="103"/>
      <c r="AG2016" s="103"/>
      <c r="AH2016" s="103"/>
      <c r="AI2016" s="103">
        <v>8</v>
      </c>
      <c r="AJ2016" s="103"/>
      <c r="AK2016" s="103"/>
      <c r="AL2016" s="103"/>
      <c r="AM2016" s="103"/>
      <c r="AN2016" s="103">
        <v>8</v>
      </c>
      <c r="AO2016" s="103"/>
      <c r="AP2016" s="103"/>
      <c r="AQ2016" s="103"/>
      <c r="AR2016" s="103"/>
      <c r="AS2016" s="103"/>
      <c r="AT2016" s="103"/>
      <c r="AU2016" s="103"/>
      <c r="AV2016" s="103"/>
      <c r="AW2016" s="104" t="str">
        <f>HYPERLINK("http://www.openstreetmap.org/?mlat=34.7778&amp;mlon=44.4515&amp;zoom=12#map=12/34.7778/44.4515","Maplink1")</f>
        <v>Maplink1</v>
      </c>
      <c r="AX2016" s="104" t="str">
        <f>HYPERLINK("https://www.google.iq/maps/search/+34.7778,44.4515/@34.7778,44.4515,14z?hl=en","Maplink2")</f>
        <v>Maplink2</v>
      </c>
      <c r="AY2016" s="104" t="str">
        <f>HYPERLINK("http://www.bing.com/maps/?lvl=14&amp;sty=h&amp;cp=34.7778~44.4515&amp;sp=point.34.7778_44.4515","Maplink3")</f>
        <v>Maplink3</v>
      </c>
    </row>
    <row r="2017" spans="1:51" x14ac:dyDescent="0.2">
      <c r="A2017" s="102">
        <v>25752</v>
      </c>
      <c r="B2017" s="103" t="s">
        <v>36</v>
      </c>
      <c r="C2017" s="103" t="s">
        <v>113</v>
      </c>
      <c r="D2017" s="103" t="s">
        <v>3859</v>
      </c>
      <c r="E2017" s="103" t="s">
        <v>3860</v>
      </c>
      <c r="F2017" s="103">
        <v>34.902158120199999</v>
      </c>
      <c r="G2017" s="103">
        <v>44.620488321400003</v>
      </c>
      <c r="H2017" s="102">
        <v>151</v>
      </c>
      <c r="I2017" s="102">
        <v>906</v>
      </c>
      <c r="J2017" s="103"/>
      <c r="K2017" s="103"/>
      <c r="L2017" s="103"/>
      <c r="M2017" s="103">
        <v>151</v>
      </c>
      <c r="N2017" s="103"/>
      <c r="O2017" s="103"/>
      <c r="P2017" s="103"/>
      <c r="Q2017" s="103"/>
      <c r="R2017" s="103"/>
      <c r="S2017" s="103"/>
      <c r="T2017" s="103"/>
      <c r="U2017" s="103"/>
      <c r="V2017" s="103"/>
      <c r="W2017" s="103"/>
      <c r="X2017" s="103"/>
      <c r="Y2017" s="103"/>
      <c r="Z2017" s="103"/>
      <c r="AA2017" s="103">
        <v>20</v>
      </c>
      <c r="AB2017" s="103"/>
      <c r="AC2017" s="103">
        <v>30</v>
      </c>
      <c r="AD2017" s="103"/>
      <c r="AE2017" s="103"/>
      <c r="AF2017" s="103"/>
      <c r="AG2017" s="103"/>
      <c r="AH2017" s="103"/>
      <c r="AI2017" s="103">
        <v>61</v>
      </c>
      <c r="AJ2017" s="103">
        <v>40</v>
      </c>
      <c r="AK2017" s="103"/>
      <c r="AL2017" s="103"/>
      <c r="AM2017" s="103"/>
      <c r="AN2017" s="103"/>
      <c r="AO2017" s="103"/>
      <c r="AP2017" s="103"/>
      <c r="AQ2017" s="103"/>
      <c r="AR2017" s="103"/>
      <c r="AS2017" s="103"/>
      <c r="AT2017" s="103">
        <v>151</v>
      </c>
      <c r="AU2017" s="103"/>
      <c r="AV2017" s="103"/>
      <c r="AW2017" s="104" t="str">
        <f>HYPERLINK("http://www.openstreetmap.org/?mlat=34.9022&amp;mlon=44.6205&amp;zoom=12#map=12/34.9022/44.6205","Maplink1")</f>
        <v>Maplink1</v>
      </c>
      <c r="AX2017" s="104" t="str">
        <f>HYPERLINK("https://www.google.iq/maps/search/+34.9022,44.6205/@34.9022,44.6205,14z?hl=en","Maplink2")</f>
        <v>Maplink2</v>
      </c>
      <c r="AY2017" s="104" t="str">
        <f>HYPERLINK("http://www.bing.com/maps/?lvl=14&amp;sty=h&amp;cp=34.9022~44.6205&amp;sp=point.34.9022_44.6205","Maplink3")</f>
        <v>Maplink3</v>
      </c>
    </row>
    <row r="2018" spans="1:51" x14ac:dyDescent="0.2">
      <c r="A2018" s="102">
        <v>33560</v>
      </c>
      <c r="B2018" s="103" t="s">
        <v>36</v>
      </c>
      <c r="C2018" s="103" t="s">
        <v>113</v>
      </c>
      <c r="D2018" s="103" t="s">
        <v>4019</v>
      </c>
      <c r="E2018" s="103" t="s">
        <v>4020</v>
      </c>
      <c r="F2018" s="103">
        <v>34.609136999999997</v>
      </c>
      <c r="G2018" s="103">
        <v>44.711148999999999</v>
      </c>
      <c r="H2018" s="102">
        <v>19</v>
      </c>
      <c r="I2018" s="102">
        <v>114</v>
      </c>
      <c r="J2018" s="103"/>
      <c r="K2018" s="103"/>
      <c r="L2018" s="103"/>
      <c r="M2018" s="103">
        <v>15</v>
      </c>
      <c r="N2018" s="103">
        <v>4</v>
      </c>
      <c r="O2018" s="103"/>
      <c r="P2018" s="103"/>
      <c r="Q2018" s="103"/>
      <c r="R2018" s="103"/>
      <c r="S2018" s="103"/>
      <c r="T2018" s="103"/>
      <c r="U2018" s="103"/>
      <c r="V2018" s="103"/>
      <c r="W2018" s="103"/>
      <c r="X2018" s="103"/>
      <c r="Y2018" s="103"/>
      <c r="Z2018" s="103"/>
      <c r="AA2018" s="103"/>
      <c r="AB2018" s="103"/>
      <c r="AC2018" s="103"/>
      <c r="AD2018" s="103"/>
      <c r="AE2018" s="103"/>
      <c r="AF2018" s="103"/>
      <c r="AG2018" s="103"/>
      <c r="AH2018" s="103"/>
      <c r="AI2018" s="103">
        <v>19</v>
      </c>
      <c r="AJ2018" s="103"/>
      <c r="AK2018" s="103"/>
      <c r="AL2018" s="103"/>
      <c r="AM2018" s="103"/>
      <c r="AN2018" s="103">
        <v>4</v>
      </c>
      <c r="AO2018" s="103">
        <v>15</v>
      </c>
      <c r="AP2018" s="103"/>
      <c r="AQ2018" s="103"/>
      <c r="AR2018" s="103"/>
      <c r="AS2018" s="103"/>
      <c r="AT2018" s="103"/>
      <c r="AU2018" s="103"/>
      <c r="AV2018" s="103"/>
      <c r="AW2018" s="104" t="str">
        <f>HYPERLINK("http://www.openstreetmap.org/?mlat=34.6091&amp;mlon=44.7111&amp;zoom=12#map=12/34.6091/44.7111","Maplink1")</f>
        <v>Maplink1</v>
      </c>
      <c r="AX2018" s="104" t="str">
        <f>HYPERLINK("https://www.google.iq/maps/search/+34.6091,44.7111/@34.6091,44.7111,14z?hl=en","Maplink2")</f>
        <v>Maplink2</v>
      </c>
      <c r="AY2018" s="104" t="str">
        <f>HYPERLINK("http://www.bing.com/maps/?lvl=14&amp;sty=h&amp;cp=34.6091~44.7111&amp;sp=point.34.6091_44.7111","Maplink3")</f>
        <v>Maplink3</v>
      </c>
    </row>
    <row r="2019" spans="1:51" x14ac:dyDescent="0.2">
      <c r="A2019" s="102">
        <v>27235</v>
      </c>
      <c r="B2019" s="103" t="s">
        <v>36</v>
      </c>
      <c r="C2019" s="103" t="s">
        <v>113</v>
      </c>
      <c r="D2019" s="103" t="s">
        <v>3827</v>
      </c>
      <c r="E2019" s="103" t="s">
        <v>3828</v>
      </c>
      <c r="F2019" s="103">
        <v>34.730262000000003</v>
      </c>
      <c r="G2019" s="103">
        <v>44.589300000000001</v>
      </c>
      <c r="H2019" s="102">
        <v>35</v>
      </c>
      <c r="I2019" s="102">
        <v>210</v>
      </c>
      <c r="J2019" s="103"/>
      <c r="K2019" s="103"/>
      <c r="L2019" s="103"/>
      <c r="M2019" s="103">
        <v>35</v>
      </c>
      <c r="N2019" s="103"/>
      <c r="O2019" s="103"/>
      <c r="P2019" s="103"/>
      <c r="Q2019" s="103"/>
      <c r="R2019" s="103"/>
      <c r="S2019" s="103"/>
      <c r="T2019" s="103"/>
      <c r="U2019" s="103"/>
      <c r="V2019" s="103"/>
      <c r="W2019" s="103">
        <v>5</v>
      </c>
      <c r="X2019" s="103"/>
      <c r="Y2019" s="103"/>
      <c r="Z2019" s="103"/>
      <c r="AA2019" s="103"/>
      <c r="AB2019" s="103">
        <v>5</v>
      </c>
      <c r="AC2019" s="103">
        <v>5</v>
      </c>
      <c r="AD2019" s="103"/>
      <c r="AE2019" s="103"/>
      <c r="AF2019" s="103">
        <v>10</v>
      </c>
      <c r="AG2019" s="103"/>
      <c r="AH2019" s="103"/>
      <c r="AI2019" s="103">
        <v>10</v>
      </c>
      <c r="AJ2019" s="103"/>
      <c r="AK2019" s="103"/>
      <c r="AL2019" s="103"/>
      <c r="AM2019" s="103">
        <v>35</v>
      </c>
      <c r="AN2019" s="103"/>
      <c r="AO2019" s="103"/>
      <c r="AP2019" s="103"/>
      <c r="AQ2019" s="103"/>
      <c r="AR2019" s="103"/>
      <c r="AS2019" s="103"/>
      <c r="AT2019" s="103"/>
      <c r="AU2019" s="103"/>
      <c r="AV2019" s="103"/>
      <c r="AW2019" s="104" t="str">
        <f>HYPERLINK("http://www.openstreetmap.org/?mlat=34.7303&amp;mlon=44.5893&amp;zoom=12#map=12/34.7303/44.5893","Maplink1")</f>
        <v>Maplink1</v>
      </c>
      <c r="AX2019" s="104" t="str">
        <f>HYPERLINK("https://www.google.iq/maps/search/+34.7303,44.5893/@34.7303,44.5893,14z?hl=en","Maplink2")</f>
        <v>Maplink2</v>
      </c>
      <c r="AY2019" s="104" t="str">
        <f>HYPERLINK("http://www.bing.com/maps/?lvl=14&amp;sty=h&amp;cp=34.7303~44.5893&amp;sp=point.34.7303_44.5893","Maplink3")</f>
        <v>Maplink3</v>
      </c>
    </row>
    <row r="2020" spans="1:51" x14ac:dyDescent="0.2">
      <c r="A2020" s="102">
        <v>27239</v>
      </c>
      <c r="B2020" s="103" t="s">
        <v>36</v>
      </c>
      <c r="C2020" s="103" t="s">
        <v>113</v>
      </c>
      <c r="D2020" s="103" t="s">
        <v>3829</v>
      </c>
      <c r="E2020" s="103" t="s">
        <v>3830</v>
      </c>
      <c r="F2020" s="103">
        <v>34.725079999999998</v>
      </c>
      <c r="G2020" s="103">
        <v>44.580514999999998</v>
      </c>
      <c r="H2020" s="102">
        <v>43</v>
      </c>
      <c r="I2020" s="102">
        <v>258</v>
      </c>
      <c r="J2020" s="103"/>
      <c r="K2020" s="103"/>
      <c r="L2020" s="103"/>
      <c r="M2020" s="103">
        <v>43</v>
      </c>
      <c r="N2020" s="103"/>
      <c r="O2020" s="103"/>
      <c r="P2020" s="103"/>
      <c r="Q2020" s="103"/>
      <c r="R2020" s="103"/>
      <c r="S2020" s="103"/>
      <c r="T2020" s="103"/>
      <c r="U2020" s="103"/>
      <c r="V2020" s="103"/>
      <c r="W2020" s="103"/>
      <c r="X2020" s="103"/>
      <c r="Y2020" s="103"/>
      <c r="Z2020" s="103"/>
      <c r="AA2020" s="103"/>
      <c r="AB2020" s="103">
        <v>8</v>
      </c>
      <c r="AC2020" s="103">
        <v>15</v>
      </c>
      <c r="AD2020" s="103"/>
      <c r="AE2020" s="103"/>
      <c r="AF2020" s="103">
        <v>8</v>
      </c>
      <c r="AG2020" s="103"/>
      <c r="AH2020" s="103"/>
      <c r="AI2020" s="103">
        <v>12</v>
      </c>
      <c r="AJ2020" s="103"/>
      <c r="AK2020" s="103"/>
      <c r="AL2020" s="103"/>
      <c r="AM2020" s="103">
        <v>43</v>
      </c>
      <c r="AN2020" s="103"/>
      <c r="AO2020" s="103"/>
      <c r="AP2020" s="103"/>
      <c r="AQ2020" s="103"/>
      <c r="AR2020" s="103"/>
      <c r="AS2020" s="103"/>
      <c r="AT2020" s="103"/>
      <c r="AU2020" s="103"/>
      <c r="AV2020" s="103"/>
      <c r="AW2020" s="104" t="str">
        <f>HYPERLINK("http://www.openstreetmap.org/?mlat=34.7251&amp;mlon=44.5805&amp;zoom=12#map=12/34.7251/44.5805","Maplink1")</f>
        <v>Maplink1</v>
      </c>
      <c r="AX2020" s="104" t="str">
        <f>HYPERLINK("https://www.google.iq/maps/search/+34.7251,44.5805/@34.7251,44.5805,14z?hl=en","Maplink2")</f>
        <v>Maplink2</v>
      </c>
      <c r="AY2020" s="104" t="str">
        <f>HYPERLINK("http://www.bing.com/maps/?lvl=14&amp;sty=h&amp;cp=34.7251~44.5805&amp;sp=point.34.7251_44.5805","Maplink3")</f>
        <v>Maplink3</v>
      </c>
    </row>
    <row r="2021" spans="1:51" x14ac:dyDescent="0.2">
      <c r="A2021" s="102">
        <v>27241</v>
      </c>
      <c r="B2021" s="103" t="s">
        <v>36</v>
      </c>
      <c r="C2021" s="103" t="s">
        <v>113</v>
      </c>
      <c r="D2021" s="103" t="s">
        <v>3835</v>
      </c>
      <c r="E2021" s="103" t="s">
        <v>3836</v>
      </c>
      <c r="F2021" s="103">
        <v>34.719239999999999</v>
      </c>
      <c r="G2021" s="103">
        <v>44.581716</v>
      </c>
      <c r="H2021" s="102">
        <v>30</v>
      </c>
      <c r="I2021" s="102">
        <v>180</v>
      </c>
      <c r="J2021" s="103"/>
      <c r="K2021" s="103"/>
      <c r="L2021" s="103"/>
      <c r="M2021" s="103">
        <v>30</v>
      </c>
      <c r="N2021" s="103"/>
      <c r="O2021" s="103"/>
      <c r="P2021" s="103"/>
      <c r="Q2021" s="103"/>
      <c r="R2021" s="103"/>
      <c r="S2021" s="103"/>
      <c r="T2021" s="103"/>
      <c r="U2021" s="103"/>
      <c r="V2021" s="103"/>
      <c r="W2021" s="103"/>
      <c r="X2021" s="103"/>
      <c r="Y2021" s="103"/>
      <c r="Z2021" s="103"/>
      <c r="AA2021" s="103"/>
      <c r="AB2021" s="103">
        <v>4</v>
      </c>
      <c r="AC2021" s="103">
        <v>10</v>
      </c>
      <c r="AD2021" s="103"/>
      <c r="AE2021" s="103"/>
      <c r="AF2021" s="103">
        <v>1</v>
      </c>
      <c r="AG2021" s="103"/>
      <c r="AH2021" s="103"/>
      <c r="AI2021" s="103">
        <v>15</v>
      </c>
      <c r="AJ2021" s="103"/>
      <c r="AK2021" s="103"/>
      <c r="AL2021" s="103"/>
      <c r="AM2021" s="103">
        <v>30</v>
      </c>
      <c r="AN2021" s="103"/>
      <c r="AO2021" s="103"/>
      <c r="AP2021" s="103"/>
      <c r="AQ2021" s="103"/>
      <c r="AR2021" s="103"/>
      <c r="AS2021" s="103"/>
      <c r="AT2021" s="103"/>
      <c r="AU2021" s="103"/>
      <c r="AV2021" s="103"/>
      <c r="AW2021" s="104" t="str">
        <f>HYPERLINK("http://www.openstreetmap.org/?mlat=34.7192&amp;mlon=44.5817&amp;zoom=12#map=12/34.7192/44.5817","Maplink1")</f>
        <v>Maplink1</v>
      </c>
      <c r="AX2021" s="104" t="str">
        <f>HYPERLINK("https://www.google.iq/maps/search/+34.7192,44.5817/@34.7192,44.5817,14z?hl=en","Maplink2")</f>
        <v>Maplink2</v>
      </c>
      <c r="AY2021" s="104" t="str">
        <f>HYPERLINK("http://www.bing.com/maps/?lvl=14&amp;sty=h&amp;cp=34.7192~44.5817&amp;sp=point.34.7192_44.5817","Maplink3")</f>
        <v>Maplink3</v>
      </c>
    </row>
    <row r="2022" spans="1:51" x14ac:dyDescent="0.2">
      <c r="A2022" s="102">
        <v>20567</v>
      </c>
      <c r="B2022" s="103" t="s">
        <v>36</v>
      </c>
      <c r="C2022" s="103" t="s">
        <v>113</v>
      </c>
      <c r="D2022" s="103" t="s">
        <v>4021</v>
      </c>
      <c r="E2022" s="103" t="s">
        <v>4022</v>
      </c>
      <c r="F2022" s="103">
        <v>34.735391999999997</v>
      </c>
      <c r="G2022" s="103">
        <v>44.651440999999998</v>
      </c>
      <c r="H2022" s="102">
        <v>10</v>
      </c>
      <c r="I2022" s="102">
        <v>60</v>
      </c>
      <c r="J2022" s="103"/>
      <c r="K2022" s="103"/>
      <c r="L2022" s="103"/>
      <c r="M2022" s="103">
        <v>6</v>
      </c>
      <c r="N2022" s="103">
        <v>4</v>
      </c>
      <c r="O2022" s="103"/>
      <c r="P2022" s="103"/>
      <c r="Q2022" s="103"/>
      <c r="R2022" s="103"/>
      <c r="S2022" s="103"/>
      <c r="T2022" s="103"/>
      <c r="U2022" s="103"/>
      <c r="V2022" s="103"/>
      <c r="W2022" s="103"/>
      <c r="X2022" s="103"/>
      <c r="Y2022" s="103"/>
      <c r="Z2022" s="103"/>
      <c r="AA2022" s="103"/>
      <c r="AB2022" s="103"/>
      <c r="AC2022" s="103"/>
      <c r="AD2022" s="103"/>
      <c r="AE2022" s="103"/>
      <c r="AF2022" s="103"/>
      <c r="AG2022" s="103"/>
      <c r="AH2022" s="103"/>
      <c r="AI2022" s="103">
        <v>10</v>
      </c>
      <c r="AJ2022" s="103"/>
      <c r="AK2022" s="103"/>
      <c r="AL2022" s="103"/>
      <c r="AM2022" s="103"/>
      <c r="AN2022" s="103"/>
      <c r="AO2022" s="103">
        <v>10</v>
      </c>
      <c r="AP2022" s="103"/>
      <c r="AQ2022" s="103"/>
      <c r="AR2022" s="103"/>
      <c r="AS2022" s="103"/>
      <c r="AT2022" s="103"/>
      <c r="AU2022" s="103"/>
      <c r="AV2022" s="103"/>
      <c r="AW2022" s="104" t="str">
        <f>HYPERLINK("http://www.openstreetmap.org/?mlat=34.7354&amp;mlon=44.6514&amp;zoom=12#map=12/34.7354/44.6514","Maplink1")</f>
        <v>Maplink1</v>
      </c>
      <c r="AX2022" s="104" t="str">
        <f>HYPERLINK("https://www.google.iq/maps/search/+34.7354,44.6514/@34.7354,44.6514,14z?hl=en","Maplink2")</f>
        <v>Maplink2</v>
      </c>
      <c r="AY2022" s="104" t="str">
        <f>HYPERLINK("http://www.bing.com/maps/?lvl=14&amp;sty=h&amp;cp=34.7354~44.6514&amp;sp=point.34.7354_44.6514","Maplink3")</f>
        <v>Maplink3</v>
      </c>
    </row>
    <row r="2023" spans="1:51" x14ac:dyDescent="0.2">
      <c r="A2023" s="102">
        <v>25865</v>
      </c>
      <c r="B2023" s="103" t="s">
        <v>36</v>
      </c>
      <c r="C2023" s="103" t="s">
        <v>113</v>
      </c>
      <c r="D2023" s="103" t="s">
        <v>3861</v>
      </c>
      <c r="E2023" s="103" t="s">
        <v>3862</v>
      </c>
      <c r="F2023" s="103">
        <v>34.899664401400003</v>
      </c>
      <c r="G2023" s="103">
        <v>44.626141735899999</v>
      </c>
      <c r="H2023" s="102">
        <v>163</v>
      </c>
      <c r="I2023" s="102">
        <v>978</v>
      </c>
      <c r="J2023" s="103"/>
      <c r="K2023" s="103"/>
      <c r="L2023" s="103"/>
      <c r="M2023" s="103">
        <v>163</v>
      </c>
      <c r="N2023" s="103"/>
      <c r="O2023" s="103"/>
      <c r="P2023" s="103"/>
      <c r="Q2023" s="103"/>
      <c r="R2023" s="103"/>
      <c r="S2023" s="103"/>
      <c r="T2023" s="103"/>
      <c r="U2023" s="103"/>
      <c r="V2023" s="103"/>
      <c r="W2023" s="103"/>
      <c r="X2023" s="103"/>
      <c r="Y2023" s="103"/>
      <c r="Z2023" s="103"/>
      <c r="AA2023" s="103"/>
      <c r="AB2023" s="103"/>
      <c r="AC2023" s="103"/>
      <c r="AD2023" s="103"/>
      <c r="AE2023" s="103"/>
      <c r="AF2023" s="103"/>
      <c r="AG2023" s="103"/>
      <c r="AH2023" s="103"/>
      <c r="AI2023" s="103">
        <v>38</v>
      </c>
      <c r="AJ2023" s="103">
        <v>125</v>
      </c>
      <c r="AK2023" s="103"/>
      <c r="AL2023" s="103"/>
      <c r="AM2023" s="103"/>
      <c r="AN2023" s="103"/>
      <c r="AO2023" s="103"/>
      <c r="AP2023" s="103"/>
      <c r="AQ2023" s="103"/>
      <c r="AR2023" s="103"/>
      <c r="AS2023" s="103"/>
      <c r="AT2023" s="103">
        <v>163</v>
      </c>
      <c r="AU2023" s="103"/>
      <c r="AV2023" s="103"/>
      <c r="AW2023" s="104" t="str">
        <f>HYPERLINK("http://www.openstreetmap.org/?mlat=34.8997&amp;mlon=44.6261&amp;zoom=12#map=12/34.8997/44.6261","Maplink1")</f>
        <v>Maplink1</v>
      </c>
      <c r="AX2023" s="104" t="str">
        <f>HYPERLINK("https://www.google.iq/maps/search/+34.8997,44.6261/@34.8997,44.6261,14z?hl=en","Maplink2")</f>
        <v>Maplink2</v>
      </c>
      <c r="AY2023" s="104" t="str">
        <f>HYPERLINK("http://www.bing.com/maps/?lvl=14&amp;sty=h&amp;cp=34.8997~44.6261&amp;sp=point.34.8997_44.6261","Maplink3")</f>
        <v>Maplink3</v>
      </c>
    </row>
    <row r="2024" spans="1:51" x14ac:dyDescent="0.2">
      <c r="A2024" s="102">
        <v>25750</v>
      </c>
      <c r="B2024" s="103" t="s">
        <v>36</v>
      </c>
      <c r="C2024" s="103" t="s">
        <v>113</v>
      </c>
      <c r="D2024" s="103" t="s">
        <v>3863</v>
      </c>
      <c r="E2024" s="103" t="s">
        <v>3864</v>
      </c>
      <c r="F2024" s="103">
        <v>34.905082507899998</v>
      </c>
      <c r="G2024" s="103">
        <v>44.6092061477</v>
      </c>
      <c r="H2024" s="102">
        <v>211</v>
      </c>
      <c r="I2024" s="102">
        <v>1266</v>
      </c>
      <c r="J2024" s="103">
        <v>8</v>
      </c>
      <c r="K2024" s="103"/>
      <c r="L2024" s="103"/>
      <c r="M2024" s="103">
        <v>203</v>
      </c>
      <c r="N2024" s="103"/>
      <c r="O2024" s="103"/>
      <c r="P2024" s="103"/>
      <c r="Q2024" s="103"/>
      <c r="R2024" s="103"/>
      <c r="S2024" s="103"/>
      <c r="T2024" s="103"/>
      <c r="U2024" s="103"/>
      <c r="V2024" s="103"/>
      <c r="W2024" s="103"/>
      <c r="X2024" s="103"/>
      <c r="Y2024" s="103"/>
      <c r="Z2024" s="103"/>
      <c r="AA2024" s="103">
        <v>1</v>
      </c>
      <c r="AB2024" s="103"/>
      <c r="AC2024" s="103">
        <v>27</v>
      </c>
      <c r="AD2024" s="103"/>
      <c r="AE2024" s="103"/>
      <c r="AF2024" s="103"/>
      <c r="AG2024" s="103"/>
      <c r="AH2024" s="103"/>
      <c r="AI2024" s="103">
        <v>172</v>
      </c>
      <c r="AJ2024" s="103">
        <v>11</v>
      </c>
      <c r="AK2024" s="103"/>
      <c r="AL2024" s="103"/>
      <c r="AM2024" s="103"/>
      <c r="AN2024" s="103"/>
      <c r="AO2024" s="103"/>
      <c r="AP2024" s="103"/>
      <c r="AQ2024" s="103"/>
      <c r="AR2024" s="103"/>
      <c r="AS2024" s="103"/>
      <c r="AT2024" s="103">
        <v>211</v>
      </c>
      <c r="AU2024" s="103"/>
      <c r="AV2024" s="103"/>
      <c r="AW2024" s="104" t="str">
        <f>HYPERLINK("http://www.openstreetmap.org/?mlat=34.9051&amp;mlon=44.6092&amp;zoom=12#map=12/34.9051/44.6092","Maplink1")</f>
        <v>Maplink1</v>
      </c>
      <c r="AX2024" s="104" t="str">
        <f>HYPERLINK("https://www.google.iq/maps/search/+34.9051,44.6092/@34.9051,44.6092,14z?hl=en","Maplink2")</f>
        <v>Maplink2</v>
      </c>
      <c r="AY2024" s="104" t="str">
        <f>HYPERLINK("http://www.bing.com/maps/?lvl=14&amp;sty=h&amp;cp=34.9051~44.6092&amp;sp=point.34.9051_44.6092","Maplink3")</f>
        <v>Maplink3</v>
      </c>
    </row>
    <row r="2025" spans="1:51" x14ac:dyDescent="0.2">
      <c r="A2025" s="102">
        <v>22466</v>
      </c>
      <c r="B2025" s="103" t="s">
        <v>36</v>
      </c>
      <c r="C2025" s="103" t="s">
        <v>113</v>
      </c>
      <c r="D2025" s="103" t="s">
        <v>3865</v>
      </c>
      <c r="E2025" s="103" t="s">
        <v>3866</v>
      </c>
      <c r="F2025" s="103">
        <v>34.766668000000003</v>
      </c>
      <c r="G2025" s="103">
        <v>44.566667000000002</v>
      </c>
      <c r="H2025" s="102">
        <v>6</v>
      </c>
      <c r="I2025" s="102">
        <v>36</v>
      </c>
      <c r="J2025" s="103"/>
      <c r="K2025" s="103"/>
      <c r="L2025" s="103"/>
      <c r="M2025" s="103">
        <v>4</v>
      </c>
      <c r="N2025" s="103">
        <v>2</v>
      </c>
      <c r="O2025" s="103"/>
      <c r="P2025" s="103"/>
      <c r="Q2025" s="103"/>
      <c r="R2025" s="103"/>
      <c r="S2025" s="103"/>
      <c r="T2025" s="103"/>
      <c r="U2025" s="103"/>
      <c r="V2025" s="103"/>
      <c r="W2025" s="103"/>
      <c r="X2025" s="103"/>
      <c r="Y2025" s="103"/>
      <c r="Z2025" s="103"/>
      <c r="AA2025" s="103"/>
      <c r="AB2025" s="103"/>
      <c r="AC2025" s="103">
        <v>2</v>
      </c>
      <c r="AD2025" s="103"/>
      <c r="AE2025" s="103"/>
      <c r="AF2025" s="103"/>
      <c r="AG2025" s="103"/>
      <c r="AH2025" s="103"/>
      <c r="AI2025" s="103">
        <v>4</v>
      </c>
      <c r="AJ2025" s="103"/>
      <c r="AK2025" s="103"/>
      <c r="AL2025" s="103"/>
      <c r="AM2025" s="103"/>
      <c r="AN2025" s="103">
        <v>4</v>
      </c>
      <c r="AO2025" s="103">
        <v>2</v>
      </c>
      <c r="AP2025" s="103"/>
      <c r="AQ2025" s="103"/>
      <c r="AR2025" s="103"/>
      <c r="AS2025" s="103"/>
      <c r="AT2025" s="103"/>
      <c r="AU2025" s="103"/>
      <c r="AV2025" s="103"/>
      <c r="AW2025" s="104" t="str">
        <f>HYPERLINK("http://www.openstreetmap.org/?mlat=34.7667&amp;mlon=44.5667&amp;zoom=12#map=12/34.7667/44.5667","Maplink1")</f>
        <v>Maplink1</v>
      </c>
      <c r="AX2025" s="104" t="str">
        <f>HYPERLINK("https://www.google.iq/maps/search/+34.7667,44.5667/@34.7667,44.5667,14z?hl=en","Maplink2")</f>
        <v>Maplink2</v>
      </c>
      <c r="AY2025" s="104" t="str">
        <f>HYPERLINK("http://www.bing.com/maps/?lvl=14&amp;sty=h&amp;cp=34.7667~44.5667&amp;sp=point.34.7667_44.5667","Maplink3")</f>
        <v>Maplink3</v>
      </c>
    </row>
    <row r="2026" spans="1:51" x14ac:dyDescent="0.2">
      <c r="A2026" s="102">
        <v>27242</v>
      </c>
      <c r="B2026" s="103" t="s">
        <v>36</v>
      </c>
      <c r="C2026" s="103" t="s">
        <v>113</v>
      </c>
      <c r="D2026" s="103" t="s">
        <v>3831</v>
      </c>
      <c r="E2026" s="103" t="s">
        <v>3832</v>
      </c>
      <c r="F2026" s="103">
        <v>34.785884000000003</v>
      </c>
      <c r="G2026" s="103">
        <v>44.570115999999999</v>
      </c>
      <c r="H2026" s="102">
        <v>181</v>
      </c>
      <c r="I2026" s="102">
        <v>1086</v>
      </c>
      <c r="J2026" s="103"/>
      <c r="K2026" s="103"/>
      <c r="L2026" s="103"/>
      <c r="M2026" s="103">
        <v>181</v>
      </c>
      <c r="N2026" s="103"/>
      <c r="O2026" s="103"/>
      <c r="P2026" s="103"/>
      <c r="Q2026" s="103"/>
      <c r="R2026" s="103"/>
      <c r="S2026" s="103"/>
      <c r="T2026" s="103"/>
      <c r="U2026" s="103"/>
      <c r="V2026" s="103"/>
      <c r="W2026" s="103">
        <v>7</v>
      </c>
      <c r="X2026" s="103"/>
      <c r="Y2026" s="103"/>
      <c r="Z2026" s="103"/>
      <c r="AA2026" s="103"/>
      <c r="AB2026" s="103">
        <v>10</v>
      </c>
      <c r="AC2026" s="103">
        <v>20</v>
      </c>
      <c r="AD2026" s="103"/>
      <c r="AE2026" s="103"/>
      <c r="AF2026" s="103">
        <v>15</v>
      </c>
      <c r="AG2026" s="103"/>
      <c r="AH2026" s="103"/>
      <c r="AI2026" s="103">
        <v>129</v>
      </c>
      <c r="AJ2026" s="103"/>
      <c r="AK2026" s="103"/>
      <c r="AL2026" s="103"/>
      <c r="AM2026" s="103">
        <v>171</v>
      </c>
      <c r="AN2026" s="103">
        <v>10</v>
      </c>
      <c r="AO2026" s="103"/>
      <c r="AP2026" s="103"/>
      <c r="AQ2026" s="103"/>
      <c r="AR2026" s="103"/>
      <c r="AS2026" s="103"/>
      <c r="AT2026" s="103"/>
      <c r="AU2026" s="103"/>
      <c r="AV2026" s="103"/>
      <c r="AW2026" s="104" t="str">
        <f>HYPERLINK("http://www.openstreetmap.org/?mlat=34.7859&amp;mlon=44.5701&amp;zoom=12#map=12/34.7859/44.5701","Maplink1")</f>
        <v>Maplink1</v>
      </c>
      <c r="AX2026" s="104" t="str">
        <f>HYPERLINK("https://www.google.iq/maps/search/+34.7859,44.5701/@34.7859,44.5701,14z?hl=en","Maplink2")</f>
        <v>Maplink2</v>
      </c>
      <c r="AY2026" s="104" t="str">
        <f>HYPERLINK("http://www.bing.com/maps/?lvl=14&amp;sty=h&amp;cp=34.7859~44.5701&amp;sp=point.34.7859_44.5701","Maplink3")</f>
        <v>Maplink3</v>
      </c>
    </row>
    <row r="2027" spans="1:51" x14ac:dyDescent="0.2">
      <c r="A2027" s="102">
        <v>33473</v>
      </c>
      <c r="B2027" s="103" t="s">
        <v>36</v>
      </c>
      <c r="C2027" s="103" t="s">
        <v>113</v>
      </c>
      <c r="D2027" s="103" t="s">
        <v>2502</v>
      </c>
      <c r="E2027" s="103" t="s">
        <v>1138</v>
      </c>
      <c r="F2027" s="103">
        <v>34.873223000000003</v>
      </c>
      <c r="G2027" s="103">
        <v>44.5926297914</v>
      </c>
      <c r="H2027" s="102">
        <v>68</v>
      </c>
      <c r="I2027" s="102">
        <v>408</v>
      </c>
      <c r="J2027" s="103">
        <v>6</v>
      </c>
      <c r="K2027" s="103"/>
      <c r="L2027" s="103"/>
      <c r="M2027" s="103">
        <v>28</v>
      </c>
      <c r="N2027" s="103">
        <v>34</v>
      </c>
      <c r="O2027" s="103"/>
      <c r="P2027" s="103"/>
      <c r="Q2027" s="103"/>
      <c r="R2027" s="103"/>
      <c r="S2027" s="103"/>
      <c r="T2027" s="103"/>
      <c r="U2027" s="103"/>
      <c r="V2027" s="103"/>
      <c r="W2027" s="103"/>
      <c r="X2027" s="103"/>
      <c r="Y2027" s="103"/>
      <c r="Z2027" s="103"/>
      <c r="AA2027" s="103"/>
      <c r="AB2027" s="103"/>
      <c r="AC2027" s="103">
        <v>17</v>
      </c>
      <c r="AD2027" s="103"/>
      <c r="AE2027" s="103"/>
      <c r="AF2027" s="103"/>
      <c r="AG2027" s="103"/>
      <c r="AH2027" s="103"/>
      <c r="AI2027" s="103">
        <v>51</v>
      </c>
      <c r="AJ2027" s="103"/>
      <c r="AK2027" s="103"/>
      <c r="AL2027" s="103"/>
      <c r="AM2027" s="103"/>
      <c r="AN2027" s="103">
        <v>10</v>
      </c>
      <c r="AO2027" s="103">
        <v>58</v>
      </c>
      <c r="AP2027" s="103"/>
      <c r="AQ2027" s="103"/>
      <c r="AR2027" s="103"/>
      <c r="AS2027" s="103"/>
      <c r="AT2027" s="103"/>
      <c r="AU2027" s="103"/>
      <c r="AV2027" s="103"/>
      <c r="AW2027" s="104" t="str">
        <f>HYPERLINK("http://www.openstreetmap.org/?mlat=34.8732&amp;mlon=44.5926&amp;zoom=12#map=12/34.8732/44.5926","Maplink1")</f>
        <v>Maplink1</v>
      </c>
      <c r="AX2027" s="104" t="str">
        <f>HYPERLINK("https://www.google.iq/maps/search/+34.8732,44.5926/@34.8732,44.5926,14z?hl=en","Maplink2")</f>
        <v>Maplink2</v>
      </c>
      <c r="AY2027" s="104" t="str">
        <f>HYPERLINK("http://www.bing.com/maps/?lvl=14&amp;sty=h&amp;cp=34.8732~44.5926&amp;sp=point.34.8732_44.5926","Maplink3")</f>
        <v>Maplink3</v>
      </c>
    </row>
    <row r="2028" spans="1:51" x14ac:dyDescent="0.2">
      <c r="A2028" s="102">
        <v>27234</v>
      </c>
      <c r="B2028" s="103" t="s">
        <v>36</v>
      </c>
      <c r="C2028" s="103" t="s">
        <v>113</v>
      </c>
      <c r="D2028" s="103" t="s">
        <v>459</v>
      </c>
      <c r="E2028" s="103" t="s">
        <v>195</v>
      </c>
      <c r="F2028" s="103">
        <v>34.726584000000003</v>
      </c>
      <c r="G2028" s="103">
        <v>44.584608000000003</v>
      </c>
      <c r="H2028" s="102">
        <v>85</v>
      </c>
      <c r="I2028" s="102">
        <v>510</v>
      </c>
      <c r="J2028" s="103"/>
      <c r="K2028" s="103"/>
      <c r="L2028" s="103"/>
      <c r="M2028" s="103">
        <v>85</v>
      </c>
      <c r="N2028" s="103"/>
      <c r="O2028" s="103"/>
      <c r="P2028" s="103"/>
      <c r="Q2028" s="103"/>
      <c r="R2028" s="103"/>
      <c r="S2028" s="103"/>
      <c r="T2028" s="103"/>
      <c r="U2028" s="103"/>
      <c r="V2028" s="103"/>
      <c r="W2028" s="103"/>
      <c r="X2028" s="103"/>
      <c r="Y2028" s="103"/>
      <c r="Z2028" s="103"/>
      <c r="AA2028" s="103"/>
      <c r="AB2028" s="103">
        <v>15</v>
      </c>
      <c r="AC2028" s="103">
        <v>30</v>
      </c>
      <c r="AD2028" s="103"/>
      <c r="AE2028" s="103"/>
      <c r="AF2028" s="103">
        <v>10</v>
      </c>
      <c r="AG2028" s="103"/>
      <c r="AH2028" s="103"/>
      <c r="AI2028" s="103">
        <v>30</v>
      </c>
      <c r="AJ2028" s="103"/>
      <c r="AK2028" s="103"/>
      <c r="AL2028" s="103"/>
      <c r="AM2028" s="103">
        <v>65</v>
      </c>
      <c r="AN2028" s="103">
        <v>20</v>
      </c>
      <c r="AO2028" s="103"/>
      <c r="AP2028" s="103"/>
      <c r="AQ2028" s="103"/>
      <c r="AR2028" s="103"/>
      <c r="AS2028" s="103"/>
      <c r="AT2028" s="103"/>
      <c r="AU2028" s="103"/>
      <c r="AV2028" s="103"/>
      <c r="AW2028" s="104" t="str">
        <f>HYPERLINK("http://www.openstreetmap.org/?mlat=34.7266&amp;mlon=44.5846&amp;zoom=12#map=12/34.7266/44.5846","Maplink1")</f>
        <v>Maplink1</v>
      </c>
      <c r="AX2028" s="104" t="str">
        <f>HYPERLINK("https://www.google.iq/maps/search/+34.7266,44.5846/@34.7266,44.5846,14z?hl=en","Maplink2")</f>
        <v>Maplink2</v>
      </c>
      <c r="AY2028" s="104" t="str">
        <f>HYPERLINK("http://www.bing.com/maps/?lvl=14&amp;sty=h&amp;cp=34.7266~44.5846&amp;sp=point.34.7266_44.5846","Maplink3")</f>
        <v>Maplink3</v>
      </c>
    </row>
    <row r="2029" spans="1:51" x14ac:dyDescent="0.2">
      <c r="A2029" s="102">
        <v>20529</v>
      </c>
      <c r="B2029" s="103" t="s">
        <v>36</v>
      </c>
      <c r="C2029" s="103" t="s">
        <v>113</v>
      </c>
      <c r="D2029" s="103" t="s">
        <v>3843</v>
      </c>
      <c r="E2029" s="103" t="s">
        <v>3844</v>
      </c>
      <c r="F2029" s="103">
        <v>34.795150999999997</v>
      </c>
      <c r="G2029" s="103">
        <v>44.669474644399997</v>
      </c>
      <c r="H2029" s="102">
        <v>1485</v>
      </c>
      <c r="I2029" s="102">
        <v>8910</v>
      </c>
      <c r="J2029" s="103">
        <v>104</v>
      </c>
      <c r="K2029" s="103"/>
      <c r="L2029" s="103"/>
      <c r="M2029" s="103">
        <v>1072</v>
      </c>
      <c r="N2029" s="103">
        <v>309</v>
      </c>
      <c r="O2029" s="103"/>
      <c r="P2029" s="103"/>
      <c r="Q2029" s="103"/>
      <c r="R2029" s="103"/>
      <c r="S2029" s="103"/>
      <c r="T2029" s="103"/>
      <c r="U2029" s="103"/>
      <c r="V2029" s="103"/>
      <c r="W2029" s="103"/>
      <c r="X2029" s="103"/>
      <c r="Y2029" s="103"/>
      <c r="Z2029" s="103">
        <v>12</v>
      </c>
      <c r="AA2029" s="103"/>
      <c r="AB2029" s="103"/>
      <c r="AC2029" s="103">
        <v>137</v>
      </c>
      <c r="AD2029" s="103"/>
      <c r="AE2029" s="103"/>
      <c r="AF2029" s="103"/>
      <c r="AG2029" s="103"/>
      <c r="AH2029" s="103"/>
      <c r="AI2029" s="103">
        <v>1334</v>
      </c>
      <c r="AJ2029" s="103">
        <v>2</v>
      </c>
      <c r="AK2029" s="103"/>
      <c r="AL2029" s="103"/>
      <c r="AM2029" s="103"/>
      <c r="AN2029" s="103">
        <v>274</v>
      </c>
      <c r="AO2029" s="103">
        <v>1211</v>
      </c>
      <c r="AP2029" s="103"/>
      <c r="AQ2029" s="103"/>
      <c r="AR2029" s="103"/>
      <c r="AS2029" s="103"/>
      <c r="AT2029" s="103"/>
      <c r="AU2029" s="103"/>
      <c r="AV2029" s="103"/>
      <c r="AW2029" s="104" t="str">
        <f>HYPERLINK("http://www.openstreetmap.org/?mlat=34.7952&amp;mlon=44.6695&amp;zoom=12#map=12/34.7952/44.6695","Maplink1")</f>
        <v>Maplink1</v>
      </c>
      <c r="AX2029" s="104" t="str">
        <f>HYPERLINK("https://www.google.iq/maps/search/+34.7952,44.6695/@34.7952,44.6695,14z?hl=en","Maplink2")</f>
        <v>Maplink2</v>
      </c>
      <c r="AY2029" s="104" t="str">
        <f>HYPERLINK("http://www.bing.com/maps/?lvl=14&amp;sty=h&amp;cp=34.7952~44.6695&amp;sp=point.34.7952_44.6695","Maplink3")</f>
        <v>Maplink3</v>
      </c>
    </row>
    <row r="2030" spans="1:51" x14ac:dyDescent="0.2">
      <c r="A2030" s="102">
        <v>20508</v>
      </c>
      <c r="B2030" s="103" t="s">
        <v>36</v>
      </c>
      <c r="C2030" s="103" t="s">
        <v>113</v>
      </c>
      <c r="D2030" s="103" t="s">
        <v>3833</v>
      </c>
      <c r="E2030" s="103" t="s">
        <v>3834</v>
      </c>
      <c r="F2030" s="103">
        <v>34.637391000000001</v>
      </c>
      <c r="G2030" s="103">
        <v>44.649863349699999</v>
      </c>
      <c r="H2030" s="102">
        <v>88</v>
      </c>
      <c r="I2030" s="102">
        <v>528</v>
      </c>
      <c r="J2030" s="103">
        <v>15</v>
      </c>
      <c r="K2030" s="103"/>
      <c r="L2030" s="103"/>
      <c r="M2030" s="103">
        <v>42</v>
      </c>
      <c r="N2030" s="103">
        <v>31</v>
      </c>
      <c r="O2030" s="103"/>
      <c r="P2030" s="103"/>
      <c r="Q2030" s="103"/>
      <c r="R2030" s="103"/>
      <c r="S2030" s="103"/>
      <c r="T2030" s="103"/>
      <c r="U2030" s="103"/>
      <c r="V2030" s="103"/>
      <c r="W2030" s="103"/>
      <c r="X2030" s="103"/>
      <c r="Y2030" s="103"/>
      <c r="Z2030" s="103"/>
      <c r="AA2030" s="103"/>
      <c r="AB2030" s="103"/>
      <c r="AC2030" s="103">
        <v>23</v>
      </c>
      <c r="AD2030" s="103"/>
      <c r="AE2030" s="103"/>
      <c r="AF2030" s="103"/>
      <c r="AG2030" s="103"/>
      <c r="AH2030" s="103"/>
      <c r="AI2030" s="103">
        <v>65</v>
      </c>
      <c r="AJ2030" s="103"/>
      <c r="AK2030" s="103"/>
      <c r="AL2030" s="103"/>
      <c r="AM2030" s="103"/>
      <c r="AN2030" s="103">
        <v>9</v>
      </c>
      <c r="AO2030" s="103">
        <v>60</v>
      </c>
      <c r="AP2030" s="103">
        <v>19</v>
      </c>
      <c r="AQ2030" s="103"/>
      <c r="AR2030" s="103"/>
      <c r="AS2030" s="103"/>
      <c r="AT2030" s="103"/>
      <c r="AU2030" s="103"/>
      <c r="AV2030" s="103"/>
      <c r="AW2030" s="104" t="str">
        <f>HYPERLINK("http://www.openstreetmap.org/?mlat=34.6374&amp;mlon=44.6499&amp;zoom=12#map=12/34.6374/44.6499","Maplink1")</f>
        <v>Maplink1</v>
      </c>
      <c r="AX2030" s="104" t="str">
        <f>HYPERLINK("https://www.google.iq/maps/search/+34.6374,44.6499/@34.6374,44.6499,14z?hl=en","Maplink2")</f>
        <v>Maplink2</v>
      </c>
      <c r="AY2030" s="104" t="str">
        <f>HYPERLINK("http://www.bing.com/maps/?lvl=14&amp;sty=h&amp;cp=34.6374~44.6499&amp;sp=point.34.6374_44.6499","Maplink3")</f>
        <v>Maplink3</v>
      </c>
    </row>
  </sheetData>
  <autoFilter ref="A3:AY2030" xr:uid="{00000000-0009-0000-0000-000002000000}"/>
  <mergeCells count="7">
    <mergeCell ref="A1:E1"/>
    <mergeCell ref="A2:G2"/>
    <mergeCell ref="H2:I2"/>
    <mergeCell ref="AW2:AY2"/>
    <mergeCell ref="AM2:AV2"/>
    <mergeCell ref="U2:AL2"/>
    <mergeCell ref="J2:T2"/>
  </mergeCells>
  <pageMargins left="1" right="1" top="1" bottom="1" header="1" footer="1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2"/>
  <sheetViews>
    <sheetView zoomScaleNormal="100" workbookViewId="0"/>
  </sheetViews>
  <sheetFormatPr defaultColWidth="9.140625" defaultRowHeight="15" x14ac:dyDescent="0.25"/>
  <cols>
    <col min="1" max="1" width="19.140625" style="4" bestFit="1" customWidth="1"/>
    <col min="2" max="2" width="27.85546875" style="4" bestFit="1" customWidth="1"/>
    <col min="3" max="3" width="9.140625" style="4" bestFit="1" customWidth="1"/>
    <col min="4" max="4" width="11.42578125" style="4" bestFit="1" customWidth="1"/>
    <col min="5" max="16384" width="9.140625" style="4"/>
  </cols>
  <sheetData>
    <row r="1" spans="1:5" x14ac:dyDescent="0.25">
      <c r="A1" s="69" t="s">
        <v>114</v>
      </c>
      <c r="B1" s="70" t="s">
        <v>115</v>
      </c>
      <c r="C1" s="70" t="s">
        <v>116</v>
      </c>
      <c r="D1" s="70" t="s">
        <v>117</v>
      </c>
      <c r="E1" s="5"/>
    </row>
    <row r="2" spans="1:5" x14ac:dyDescent="0.25">
      <c r="A2" s="7" t="s">
        <v>64</v>
      </c>
      <c r="B2" s="8">
        <v>500802</v>
      </c>
      <c r="C2" s="9">
        <v>0.10643626537719476</v>
      </c>
      <c r="D2" s="8">
        <v>9</v>
      </c>
      <c r="E2" s="5"/>
    </row>
    <row r="3" spans="1:5" x14ac:dyDescent="0.25">
      <c r="A3" s="7" t="s">
        <v>65</v>
      </c>
      <c r="B3" s="8">
        <v>727374</v>
      </c>
      <c r="C3" s="9">
        <v>0.15458998185404943</v>
      </c>
      <c r="D3" s="8">
        <v>8</v>
      </c>
      <c r="E3" s="5"/>
    </row>
    <row r="4" spans="1:5" x14ac:dyDescent="0.25">
      <c r="A4" s="7" t="s">
        <v>66</v>
      </c>
      <c r="B4" s="8">
        <v>830118</v>
      </c>
      <c r="C4" s="9">
        <v>0.17642633164880764</v>
      </c>
      <c r="D4" s="8">
        <v>7</v>
      </c>
      <c r="E4" s="5"/>
    </row>
    <row r="5" spans="1:5" x14ac:dyDescent="0.25">
      <c r="A5" s="7" t="s">
        <v>67</v>
      </c>
      <c r="B5" s="8">
        <v>552948</v>
      </c>
      <c r="C5" s="9">
        <v>0.11751893975620922</v>
      </c>
      <c r="D5" s="8">
        <v>6</v>
      </c>
      <c r="E5" s="5"/>
    </row>
    <row r="6" spans="1:5" x14ac:dyDescent="0.25">
      <c r="A6" s="7" t="s">
        <v>68</v>
      </c>
      <c r="B6" s="8">
        <v>419238</v>
      </c>
      <c r="C6" s="9">
        <v>8.9101335506256721E-2</v>
      </c>
      <c r="D6" s="8">
        <v>5</v>
      </c>
      <c r="E6" s="5"/>
    </row>
    <row r="7" spans="1:5" x14ac:dyDescent="0.25">
      <c r="A7" s="7" t="s">
        <v>69</v>
      </c>
      <c r="B7" s="8">
        <v>312582</v>
      </c>
      <c r="C7" s="9">
        <v>6.6433561974860902E-2</v>
      </c>
      <c r="D7" s="8">
        <v>4</v>
      </c>
      <c r="E7" s="5"/>
    </row>
    <row r="8" spans="1:5" x14ac:dyDescent="0.25">
      <c r="A8" s="7" t="s">
        <v>70</v>
      </c>
      <c r="B8" s="8">
        <v>984264</v>
      </c>
      <c r="C8" s="9">
        <v>0.20918723228984554</v>
      </c>
      <c r="D8" s="8">
        <v>3</v>
      </c>
      <c r="E8" s="5"/>
    </row>
    <row r="9" spans="1:5" x14ac:dyDescent="0.25">
      <c r="A9" s="7" t="s">
        <v>71</v>
      </c>
      <c r="B9" s="8">
        <v>376038</v>
      </c>
      <c r="C9" s="9">
        <v>7.9919969089399731E-2</v>
      </c>
      <c r="D9" s="8">
        <v>2</v>
      </c>
      <c r="E9" s="5"/>
    </row>
    <row r="10" spans="1:5" x14ac:dyDescent="0.25">
      <c r="A10" s="72" t="s">
        <v>72</v>
      </c>
      <c r="B10" s="73">
        <v>1818</v>
      </c>
      <c r="C10" s="74">
        <v>3.8638250337606495E-4</v>
      </c>
      <c r="D10" s="73">
        <v>1</v>
      </c>
      <c r="E10" s="71"/>
    </row>
    <row r="11" spans="1:5" x14ac:dyDescent="0.25">
      <c r="A11" s="7" t="s">
        <v>73</v>
      </c>
      <c r="B11" s="8">
        <v>0</v>
      </c>
      <c r="C11" s="9">
        <v>0</v>
      </c>
      <c r="D11" s="8"/>
    </row>
    <row r="12" spans="1:5" x14ac:dyDescent="0.25">
      <c r="A12" s="6"/>
      <c r="B12" s="6"/>
      <c r="C12" s="6"/>
      <c r="D12" s="6"/>
      <c r="E12" s="6"/>
    </row>
  </sheetData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89"/>
  <sheetViews>
    <sheetView zoomScale="62" zoomScaleNormal="62" workbookViewId="0"/>
  </sheetViews>
  <sheetFormatPr defaultColWidth="9.140625" defaultRowHeight="15" x14ac:dyDescent="0.25"/>
  <cols>
    <col min="1" max="1" width="21.140625" style="51" bestFit="1" customWidth="1"/>
    <col min="2" max="2" width="28.5703125" style="51" bestFit="1" customWidth="1"/>
    <col min="3" max="3" width="32.85546875" style="51" bestFit="1" customWidth="1"/>
    <col min="4" max="4" width="13" style="51" bestFit="1" customWidth="1"/>
    <col min="5" max="5" width="12.140625" style="51" bestFit="1" customWidth="1"/>
    <col min="6" max="6" width="20.28515625" style="51" bestFit="1" customWidth="1"/>
    <col min="7" max="7" width="18.140625" style="51" bestFit="1" customWidth="1"/>
    <col min="8" max="8" width="17.140625" style="51" bestFit="1" customWidth="1"/>
    <col min="9" max="9" width="14.5703125" style="51" bestFit="1" customWidth="1"/>
    <col min="10" max="10" width="14.85546875" style="51" bestFit="1" customWidth="1"/>
    <col min="11" max="11" width="30.42578125" style="51" bestFit="1" customWidth="1"/>
    <col min="12" max="12" width="21.5703125" style="51" bestFit="1" customWidth="1"/>
    <col min="13" max="13" width="9.42578125" style="51" bestFit="1" customWidth="1"/>
    <col min="14" max="14" width="9.140625" style="51"/>
    <col min="15" max="15" width="19.140625" style="51" bestFit="1" customWidth="1"/>
    <col min="16" max="16" width="10.5703125" style="51" bestFit="1" customWidth="1"/>
    <col min="17" max="16384" width="9.140625" style="51"/>
  </cols>
  <sheetData>
    <row r="1" spans="1:14" x14ac:dyDescent="0.25">
      <c r="A1" s="56" t="str">
        <f>Summary!A9</f>
        <v>Governorate of Return</v>
      </c>
      <c r="B1" s="56" t="str">
        <f>Summary!B9</f>
        <v>Host Families</v>
      </c>
      <c r="C1" s="56" t="str">
        <f>Summary!C9</f>
        <v>Hotel/Motel</v>
      </c>
      <c r="D1" s="56" t="str">
        <f>Summary!D9</f>
        <v>Rented Houses</v>
      </c>
      <c r="E1" s="56" t="str">
        <f>Summary!E9</f>
        <v>Habitual Residence (Habitable)</v>
      </c>
      <c r="F1" s="56" t="str">
        <f>Summary!F9</f>
        <v>Habitual Residence (Uninhabitable)</v>
      </c>
      <c r="G1" s="56" t="str">
        <f>Summary!G9</f>
        <v>Informal Settlements</v>
      </c>
      <c r="H1" s="56" t="str">
        <f>Summary!H9</f>
        <v>Unfinished/Abandoned building</v>
      </c>
      <c r="I1" s="56" t="str">
        <f>Summary!I9</f>
        <v>Religious Building</v>
      </c>
      <c r="J1" s="56" t="str">
        <f>Summary!J9</f>
        <v>School Building</v>
      </c>
      <c r="K1" s="56" t="str">
        <f>Summary!K9</f>
        <v>Other formal settlements/ collective centres</v>
      </c>
      <c r="L1" s="56" t="str">
        <f>Summary!L9</f>
        <v>Unknown Shelter Type</v>
      </c>
      <c r="M1" s="56" t="str">
        <f>Summary!M9</f>
        <v>Total</v>
      </c>
      <c r="N1" s="50"/>
    </row>
    <row r="2" spans="1:14" x14ac:dyDescent="0.25">
      <c r="A2" s="65" t="str">
        <f>Summary!A10</f>
        <v>Anbar</v>
      </c>
      <c r="B2" s="53">
        <f>Summary!B10</f>
        <v>14</v>
      </c>
      <c r="C2" s="53">
        <f>Summary!C10</f>
        <v>0</v>
      </c>
      <c r="D2" s="53">
        <f>Summary!D10</f>
        <v>5560</v>
      </c>
      <c r="E2" s="53">
        <f>Summary!E10</f>
        <v>238105</v>
      </c>
      <c r="F2" s="53">
        <f>Summary!F10</f>
        <v>6350</v>
      </c>
      <c r="G2" s="53">
        <f>Summary!G10</f>
        <v>0</v>
      </c>
      <c r="H2" s="53">
        <f>Summary!H10</f>
        <v>0</v>
      </c>
      <c r="I2" s="53">
        <f>Summary!I10</f>
        <v>0</v>
      </c>
      <c r="J2" s="53">
        <f>Summary!J10</f>
        <v>0</v>
      </c>
      <c r="K2" s="53">
        <f>Summary!K10</f>
        <v>286</v>
      </c>
      <c r="L2" s="53">
        <f>Summary!L10</f>
        <v>0</v>
      </c>
      <c r="M2" s="53">
        <f>Summary!M10</f>
        <v>250315</v>
      </c>
      <c r="N2" s="50"/>
    </row>
    <row r="3" spans="1:14" x14ac:dyDescent="0.25">
      <c r="A3" s="65" t="str">
        <f>Summary!A11</f>
        <v>Baghdad</v>
      </c>
      <c r="B3" s="53">
        <f>Summary!B11</f>
        <v>53</v>
      </c>
      <c r="C3" s="53">
        <f>Summary!C11</f>
        <v>0</v>
      </c>
      <c r="D3" s="53">
        <f>Summary!D11</f>
        <v>52</v>
      </c>
      <c r="E3" s="53">
        <f>Summary!E11</f>
        <v>13889</v>
      </c>
      <c r="F3" s="53">
        <f>Summary!F11</f>
        <v>1044</v>
      </c>
      <c r="G3" s="53">
        <f>Summary!G11</f>
        <v>0</v>
      </c>
      <c r="H3" s="53">
        <f>Summary!H11</f>
        <v>0</v>
      </c>
      <c r="I3" s="53">
        <f>Summary!I11</f>
        <v>0</v>
      </c>
      <c r="J3" s="53">
        <f>Summary!J11</f>
        <v>0</v>
      </c>
      <c r="K3" s="53">
        <f>Summary!K11</f>
        <v>0</v>
      </c>
      <c r="L3" s="53">
        <f>Summary!L11</f>
        <v>0</v>
      </c>
      <c r="M3" s="53">
        <f>Summary!M11</f>
        <v>15038</v>
      </c>
      <c r="N3" s="50"/>
    </row>
    <row r="4" spans="1:14" x14ac:dyDescent="0.25">
      <c r="A4" s="65" t="str">
        <f>Summary!A12</f>
        <v>Dahuk</v>
      </c>
      <c r="B4" s="53">
        <f>Summary!B12</f>
        <v>0</v>
      </c>
      <c r="C4" s="53">
        <f>Summary!C12</f>
        <v>0</v>
      </c>
      <c r="D4" s="53">
        <f>Summary!D12</f>
        <v>0</v>
      </c>
      <c r="E4" s="53">
        <f>Summary!E12</f>
        <v>128</v>
      </c>
      <c r="F4" s="53">
        <f>Summary!F12</f>
        <v>0</v>
      </c>
      <c r="G4" s="53">
        <f>Summary!G12</f>
        <v>0</v>
      </c>
      <c r="H4" s="53">
        <f>Summary!H12</f>
        <v>0</v>
      </c>
      <c r="I4" s="53">
        <f>Summary!I12</f>
        <v>0</v>
      </c>
      <c r="J4" s="53">
        <f>Summary!J12</f>
        <v>0</v>
      </c>
      <c r="K4" s="53">
        <f>Summary!K12</f>
        <v>0</v>
      </c>
      <c r="L4" s="53">
        <f>Summary!L12</f>
        <v>0</v>
      </c>
      <c r="M4" s="53">
        <f>Summary!M12</f>
        <v>128</v>
      </c>
      <c r="N4" s="50"/>
    </row>
    <row r="5" spans="1:14" x14ac:dyDescent="0.25">
      <c r="A5" s="65" t="str">
        <f>Summary!A13</f>
        <v>Diyala</v>
      </c>
      <c r="B5" s="53">
        <f>Summary!B13</f>
        <v>29</v>
      </c>
      <c r="C5" s="53">
        <f>Summary!C13</f>
        <v>0</v>
      </c>
      <c r="D5" s="53">
        <f>Summary!D13</f>
        <v>413</v>
      </c>
      <c r="E5" s="53">
        <f>Summary!E13</f>
        <v>34125</v>
      </c>
      <c r="F5" s="53">
        <f>Summary!F13</f>
        <v>3802</v>
      </c>
      <c r="G5" s="53">
        <f>Summary!G13</f>
        <v>0</v>
      </c>
      <c r="H5" s="53">
        <f>Summary!H13</f>
        <v>0</v>
      </c>
      <c r="I5" s="53">
        <f>Summary!I13</f>
        <v>0</v>
      </c>
      <c r="J5" s="53">
        <f>Summary!J13</f>
        <v>0</v>
      </c>
      <c r="K5" s="53">
        <f>Summary!K13</f>
        <v>0</v>
      </c>
      <c r="L5" s="53">
        <f>Summary!L13</f>
        <v>0</v>
      </c>
      <c r="M5" s="53">
        <f>Summary!M13</f>
        <v>38369</v>
      </c>
      <c r="N5" s="50"/>
    </row>
    <row r="6" spans="1:14" x14ac:dyDescent="0.25">
      <c r="A6" s="65" t="str">
        <f>Summary!A14</f>
        <v>Erbil</v>
      </c>
      <c r="B6" s="53">
        <f>Summary!B14</f>
        <v>0</v>
      </c>
      <c r="C6" s="53">
        <f>Summary!C14</f>
        <v>0</v>
      </c>
      <c r="D6" s="53">
        <f>Summary!D14</f>
        <v>30</v>
      </c>
      <c r="E6" s="53">
        <f>Summary!E14</f>
        <v>8783</v>
      </c>
      <c r="F6" s="53">
        <f>Summary!F14</f>
        <v>0</v>
      </c>
      <c r="G6" s="53">
        <f>Summary!G14</f>
        <v>0</v>
      </c>
      <c r="H6" s="53">
        <f>Summary!H14</f>
        <v>0</v>
      </c>
      <c r="I6" s="53">
        <f>Summary!I14</f>
        <v>0</v>
      </c>
      <c r="J6" s="53">
        <f>Summary!J14</f>
        <v>0</v>
      </c>
      <c r="K6" s="53">
        <f>Summary!K14</f>
        <v>0</v>
      </c>
      <c r="L6" s="53">
        <f>Summary!L14</f>
        <v>0</v>
      </c>
      <c r="M6" s="53">
        <f>Summary!M14</f>
        <v>8813</v>
      </c>
      <c r="N6" s="50"/>
    </row>
    <row r="7" spans="1:14" x14ac:dyDescent="0.25">
      <c r="A7" s="65" t="str">
        <f>Summary!A15</f>
        <v>Kirkuk</v>
      </c>
      <c r="B7" s="53">
        <f>Summary!B15</f>
        <v>18</v>
      </c>
      <c r="C7" s="53">
        <f>Summary!C15</f>
        <v>0</v>
      </c>
      <c r="D7" s="53">
        <f>Summary!D15</f>
        <v>65</v>
      </c>
      <c r="E7" s="53">
        <f>Summary!E15</f>
        <v>55894</v>
      </c>
      <c r="F7" s="53">
        <f>Summary!F15</f>
        <v>767</v>
      </c>
      <c r="G7" s="53">
        <f>Summary!G15</f>
        <v>32</v>
      </c>
      <c r="H7" s="53">
        <f>Summary!H15</f>
        <v>0</v>
      </c>
      <c r="I7" s="53">
        <f>Summary!I15</f>
        <v>0</v>
      </c>
      <c r="J7" s="53">
        <f>Summary!J15</f>
        <v>0</v>
      </c>
      <c r="K7" s="53">
        <f>Summary!K15</f>
        <v>0</v>
      </c>
      <c r="L7" s="53">
        <f>Summary!L15</f>
        <v>0</v>
      </c>
      <c r="M7" s="53">
        <f>Summary!M15</f>
        <v>56776</v>
      </c>
      <c r="N7" s="50"/>
    </row>
    <row r="8" spans="1:14" x14ac:dyDescent="0.25">
      <c r="A8" s="65" t="str">
        <f>Summary!A16</f>
        <v>Ninewa</v>
      </c>
      <c r="B8" s="53">
        <f>Summary!B16</f>
        <v>860</v>
      </c>
      <c r="C8" s="53">
        <f>Summary!C16</f>
        <v>6</v>
      </c>
      <c r="D8" s="53">
        <f>Summary!D16</f>
        <v>371</v>
      </c>
      <c r="E8" s="53">
        <f>Summary!E16</f>
        <v>289676</v>
      </c>
      <c r="F8" s="53">
        <f>Summary!F16</f>
        <v>8829</v>
      </c>
      <c r="G8" s="53">
        <f>Summary!G16</f>
        <v>62</v>
      </c>
      <c r="H8" s="53">
        <f>Summary!H16</f>
        <v>124</v>
      </c>
      <c r="I8" s="53">
        <f>Summary!I16</f>
        <v>10</v>
      </c>
      <c r="J8" s="53">
        <f>Summary!J16</f>
        <v>0</v>
      </c>
      <c r="K8" s="53">
        <f>Summary!K16</f>
        <v>0</v>
      </c>
      <c r="L8" s="53">
        <f>Summary!L16</f>
        <v>0</v>
      </c>
      <c r="M8" s="53">
        <f>Summary!M16</f>
        <v>299938</v>
      </c>
      <c r="N8" s="50"/>
    </row>
    <row r="9" spans="1:14" x14ac:dyDescent="0.25">
      <c r="A9" s="65" t="str">
        <f>Summary!A17</f>
        <v>Salah al-Din</v>
      </c>
      <c r="B9" s="53">
        <f>Summary!B17</f>
        <v>1525</v>
      </c>
      <c r="C9" s="53">
        <f>Summary!C17</f>
        <v>0</v>
      </c>
      <c r="D9" s="53">
        <f>Summary!D17</f>
        <v>3701</v>
      </c>
      <c r="E9" s="53">
        <f>Summary!E17</f>
        <v>103326</v>
      </c>
      <c r="F9" s="53">
        <f>Summary!F17</f>
        <v>5490</v>
      </c>
      <c r="G9" s="53">
        <f>Summary!G17</f>
        <v>481</v>
      </c>
      <c r="H9" s="53">
        <f>Summary!H17</f>
        <v>291</v>
      </c>
      <c r="I9" s="53">
        <f>Summary!I17</f>
        <v>0</v>
      </c>
      <c r="J9" s="53">
        <f>Summary!J17</f>
        <v>6</v>
      </c>
      <c r="K9" s="53">
        <f>Summary!K17</f>
        <v>0</v>
      </c>
      <c r="L9" s="53">
        <f>Summary!L17</f>
        <v>0</v>
      </c>
      <c r="M9" s="53">
        <f>Summary!M17</f>
        <v>114820</v>
      </c>
      <c r="N9" s="50"/>
    </row>
    <row r="10" spans="1:14" x14ac:dyDescent="0.25">
      <c r="A10" s="65" t="str">
        <f>Summary!A18</f>
        <v xml:space="preserve">    Total</v>
      </c>
      <c r="B10" s="53">
        <f>Summary!B18</f>
        <v>2499</v>
      </c>
      <c r="C10" s="53">
        <f>Summary!C18</f>
        <v>6</v>
      </c>
      <c r="D10" s="53">
        <f>Summary!D18</f>
        <v>10192</v>
      </c>
      <c r="E10" s="53">
        <f>Summary!E18</f>
        <v>743926</v>
      </c>
      <c r="F10" s="53">
        <f>Summary!F18</f>
        <v>26282</v>
      </c>
      <c r="G10" s="53">
        <f>Summary!G18</f>
        <v>575</v>
      </c>
      <c r="H10" s="53">
        <f>Summary!H18</f>
        <v>415</v>
      </c>
      <c r="I10" s="53">
        <f>Summary!I18</f>
        <v>10</v>
      </c>
      <c r="J10" s="53">
        <f>Summary!J18</f>
        <v>6</v>
      </c>
      <c r="K10" s="53">
        <f>Summary!K18</f>
        <v>286</v>
      </c>
      <c r="L10" s="53">
        <f>Summary!L18</f>
        <v>0</v>
      </c>
      <c r="M10" s="53">
        <f>Summary!M18</f>
        <v>784197</v>
      </c>
      <c r="N10" s="50"/>
    </row>
    <row r="11" spans="1:14" x14ac:dyDescent="0.25">
      <c r="A11" s="66"/>
      <c r="B11" s="67">
        <f t="shared" ref="B11:L11" si="0">B10/$M$10</f>
        <v>3.1866992605174465E-3</v>
      </c>
      <c r="C11" s="67">
        <f t="shared" si="0"/>
        <v>7.6511386807141581E-6</v>
      </c>
      <c r="D11" s="67">
        <f t="shared" si="0"/>
        <v>1.2996734238973115E-2</v>
      </c>
      <c r="E11" s="67">
        <f t="shared" si="0"/>
        <v>0.94864683236482672</v>
      </c>
      <c r="F11" s="67">
        <f t="shared" si="0"/>
        <v>3.3514537801088248E-2</v>
      </c>
      <c r="G11" s="67">
        <f t="shared" si="0"/>
        <v>7.3323412356844002E-4</v>
      </c>
      <c r="H11" s="67">
        <f t="shared" si="0"/>
        <v>5.2920375874939589E-4</v>
      </c>
      <c r="I11" s="67">
        <f t="shared" si="0"/>
        <v>1.2751897801190263E-5</v>
      </c>
      <c r="J11" s="67">
        <f t="shared" si="0"/>
        <v>7.6511386807141581E-6</v>
      </c>
      <c r="K11" s="67">
        <f t="shared" si="0"/>
        <v>3.6470427711404149E-4</v>
      </c>
      <c r="L11" s="67">
        <f t="shared" si="0"/>
        <v>0</v>
      </c>
      <c r="M11" s="68"/>
      <c r="N11" s="50"/>
    </row>
    <row r="12" spans="1:14" x14ac:dyDescent="0.25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</row>
    <row r="19" spans="1:7" ht="15.75" customHeight="1" x14ac:dyDescent="0.25"/>
    <row r="20" spans="1:7" ht="15.75" customHeight="1" x14ac:dyDescent="0.25"/>
    <row r="21" spans="1:7" ht="15.75" customHeight="1" x14ac:dyDescent="0.25"/>
    <row r="22" spans="1:7" ht="15.75" customHeight="1" x14ac:dyDescent="0.25"/>
    <row r="23" spans="1:7" ht="15.75" customHeight="1" x14ac:dyDescent="0.25"/>
    <row r="24" spans="1:7" ht="15.75" customHeight="1" x14ac:dyDescent="0.25"/>
    <row r="25" spans="1:7" ht="15.75" customHeight="1" x14ac:dyDescent="0.25">
      <c r="B25" s="55"/>
      <c r="C25" s="55"/>
      <c r="D25" s="55"/>
      <c r="E25" s="55"/>
    </row>
    <row r="26" spans="1:7" x14ac:dyDescent="0.25">
      <c r="A26" s="49" t="str">
        <f t="shared" ref="A26:D34" si="1">A1</f>
        <v>Governorate of Return</v>
      </c>
      <c r="B26" s="56" t="str">
        <f>E1</f>
        <v>Habitual Residence (Habitable)</v>
      </c>
      <c r="C26" s="56" t="str">
        <f>F1</f>
        <v>Habitual Residence (Uninhabitable)</v>
      </c>
      <c r="D26" s="56" t="str">
        <f>D1</f>
        <v>Rented Houses</v>
      </c>
      <c r="E26" s="56" t="s">
        <v>3870</v>
      </c>
      <c r="F26" s="50"/>
    </row>
    <row r="27" spans="1:7" x14ac:dyDescent="0.25">
      <c r="A27" s="57" t="str">
        <f t="shared" si="1"/>
        <v>Anbar</v>
      </c>
      <c r="B27" s="53">
        <f t="shared" ref="B27:B34" si="2">E2</f>
        <v>238105</v>
      </c>
      <c r="C27" s="53">
        <f t="shared" ref="C27:C34" si="3">F2</f>
        <v>6350</v>
      </c>
      <c r="D27" s="53">
        <f t="shared" si="1"/>
        <v>5560</v>
      </c>
      <c r="E27" s="53">
        <f>SUM(B2:C2,G2:L2)</f>
        <v>300</v>
      </c>
      <c r="F27" s="50"/>
      <c r="G27" s="58"/>
    </row>
    <row r="28" spans="1:7" x14ac:dyDescent="0.25">
      <c r="A28" s="57" t="str">
        <f t="shared" si="1"/>
        <v>Baghdad</v>
      </c>
      <c r="B28" s="53">
        <f t="shared" si="2"/>
        <v>13889</v>
      </c>
      <c r="C28" s="53">
        <f t="shared" si="3"/>
        <v>1044</v>
      </c>
      <c r="D28" s="53">
        <f t="shared" si="1"/>
        <v>52</v>
      </c>
      <c r="E28" s="53">
        <f t="shared" ref="E28:E34" si="4">SUM(B3:C3,G3:L3)</f>
        <v>53</v>
      </c>
      <c r="F28" s="50"/>
      <c r="G28" s="58"/>
    </row>
    <row r="29" spans="1:7" x14ac:dyDescent="0.25">
      <c r="A29" s="57" t="str">
        <f t="shared" si="1"/>
        <v>Dahuk</v>
      </c>
      <c r="B29" s="53">
        <f t="shared" si="2"/>
        <v>128</v>
      </c>
      <c r="C29" s="53">
        <f t="shared" si="3"/>
        <v>0</v>
      </c>
      <c r="D29" s="53">
        <f t="shared" si="1"/>
        <v>0</v>
      </c>
      <c r="E29" s="53">
        <f t="shared" si="4"/>
        <v>0</v>
      </c>
      <c r="F29" s="50"/>
      <c r="G29" s="58"/>
    </row>
    <row r="30" spans="1:7" x14ac:dyDescent="0.25">
      <c r="A30" s="57" t="str">
        <f t="shared" si="1"/>
        <v>Diyala</v>
      </c>
      <c r="B30" s="53">
        <f t="shared" si="2"/>
        <v>34125</v>
      </c>
      <c r="C30" s="53">
        <f t="shared" si="3"/>
        <v>3802</v>
      </c>
      <c r="D30" s="53">
        <f t="shared" si="1"/>
        <v>413</v>
      </c>
      <c r="E30" s="53">
        <f t="shared" si="4"/>
        <v>29</v>
      </c>
      <c r="F30" s="50"/>
      <c r="G30" s="58"/>
    </row>
    <row r="31" spans="1:7" x14ac:dyDescent="0.25">
      <c r="A31" s="57" t="str">
        <f t="shared" si="1"/>
        <v>Erbil</v>
      </c>
      <c r="B31" s="53">
        <f t="shared" si="2"/>
        <v>8783</v>
      </c>
      <c r="C31" s="53">
        <f t="shared" si="3"/>
        <v>0</v>
      </c>
      <c r="D31" s="53">
        <f t="shared" si="1"/>
        <v>30</v>
      </c>
      <c r="E31" s="53">
        <f t="shared" si="4"/>
        <v>0</v>
      </c>
      <c r="F31" s="50"/>
      <c r="G31" s="58"/>
    </row>
    <row r="32" spans="1:7" x14ac:dyDescent="0.25">
      <c r="A32" s="57" t="str">
        <f t="shared" si="1"/>
        <v>Kirkuk</v>
      </c>
      <c r="B32" s="53">
        <f t="shared" si="2"/>
        <v>55894</v>
      </c>
      <c r="C32" s="53">
        <f t="shared" si="3"/>
        <v>767</v>
      </c>
      <c r="D32" s="53">
        <f t="shared" si="1"/>
        <v>65</v>
      </c>
      <c r="E32" s="53">
        <f t="shared" si="4"/>
        <v>50</v>
      </c>
      <c r="F32" s="50"/>
      <c r="G32" s="58"/>
    </row>
    <row r="33" spans="1:8" x14ac:dyDescent="0.25">
      <c r="A33" s="57" t="str">
        <f t="shared" si="1"/>
        <v>Ninewa</v>
      </c>
      <c r="B33" s="53">
        <f t="shared" si="2"/>
        <v>289676</v>
      </c>
      <c r="C33" s="53">
        <f t="shared" si="3"/>
        <v>8829</v>
      </c>
      <c r="D33" s="53">
        <f t="shared" si="1"/>
        <v>371</v>
      </c>
      <c r="E33" s="53">
        <f t="shared" si="4"/>
        <v>1062</v>
      </c>
      <c r="F33" s="50"/>
      <c r="G33" s="58"/>
    </row>
    <row r="34" spans="1:8" x14ac:dyDescent="0.25">
      <c r="A34" s="57" t="str">
        <f t="shared" si="1"/>
        <v>Salah al-Din</v>
      </c>
      <c r="B34" s="53">
        <f t="shared" si="2"/>
        <v>103326</v>
      </c>
      <c r="C34" s="53">
        <f t="shared" si="3"/>
        <v>5490</v>
      </c>
      <c r="D34" s="53">
        <f t="shared" si="1"/>
        <v>3701</v>
      </c>
      <c r="E34" s="53">
        <f t="shared" si="4"/>
        <v>2303</v>
      </c>
      <c r="F34" s="50"/>
      <c r="G34" s="58"/>
    </row>
    <row r="35" spans="1:8" x14ac:dyDescent="0.25">
      <c r="A35" s="59"/>
      <c r="B35" s="60"/>
      <c r="C35" s="60"/>
      <c r="D35" s="60"/>
      <c r="E35" s="60"/>
    </row>
    <row r="46" spans="1:8" x14ac:dyDescent="0.25">
      <c r="A46" s="61"/>
      <c r="B46" s="61"/>
      <c r="C46" s="61"/>
      <c r="D46" s="61"/>
      <c r="E46" s="61"/>
      <c r="F46" s="61"/>
      <c r="G46" s="61"/>
      <c r="H46" s="61"/>
    </row>
    <row r="47" spans="1:8" x14ac:dyDescent="0.25">
      <c r="A47" s="61"/>
      <c r="B47" s="61"/>
      <c r="C47" s="61"/>
      <c r="D47" s="61"/>
      <c r="E47" s="61"/>
      <c r="F47" s="61"/>
      <c r="G47" s="61"/>
      <c r="H47" s="61"/>
    </row>
    <row r="48" spans="1:8" x14ac:dyDescent="0.25">
      <c r="H48" s="61"/>
    </row>
    <row r="49" spans="1:8" x14ac:dyDescent="0.25">
      <c r="H49" s="61"/>
    </row>
    <row r="50" spans="1:8" x14ac:dyDescent="0.25">
      <c r="H50" s="61"/>
    </row>
    <row r="51" spans="1:8" x14ac:dyDescent="0.25">
      <c r="H51" s="61"/>
    </row>
    <row r="52" spans="1:8" x14ac:dyDescent="0.25">
      <c r="A52" s="62"/>
      <c r="H52" s="61"/>
    </row>
    <row r="53" spans="1:8" x14ac:dyDescent="0.25">
      <c r="H53" s="61"/>
    </row>
    <row r="54" spans="1:8" x14ac:dyDescent="0.25">
      <c r="H54" s="61"/>
    </row>
    <row r="55" spans="1:8" x14ac:dyDescent="0.25">
      <c r="H55" s="61"/>
    </row>
    <row r="56" spans="1:8" x14ac:dyDescent="0.25">
      <c r="H56" s="61"/>
    </row>
    <row r="57" spans="1:8" x14ac:dyDescent="0.25">
      <c r="H57" s="61"/>
    </row>
    <row r="58" spans="1:8" x14ac:dyDescent="0.25">
      <c r="H58" s="61"/>
    </row>
    <row r="59" spans="1:8" x14ac:dyDescent="0.25">
      <c r="H59" s="61"/>
    </row>
    <row r="60" spans="1:8" x14ac:dyDescent="0.25">
      <c r="H60" s="61"/>
    </row>
    <row r="61" spans="1:8" x14ac:dyDescent="0.25">
      <c r="H61" s="61"/>
    </row>
    <row r="62" spans="1:8" x14ac:dyDescent="0.25">
      <c r="H62" s="61"/>
    </row>
    <row r="63" spans="1:8" x14ac:dyDescent="0.25">
      <c r="H63" s="61"/>
    </row>
    <row r="64" spans="1:8" x14ac:dyDescent="0.25">
      <c r="H64" s="61"/>
    </row>
    <row r="65" spans="8:8" x14ac:dyDescent="0.25">
      <c r="H65" s="61"/>
    </row>
    <row r="84" spans="1:4" x14ac:dyDescent="0.25">
      <c r="B84" s="55"/>
      <c r="C84" s="55"/>
    </row>
    <row r="85" spans="1:4" x14ac:dyDescent="0.25">
      <c r="A85" s="52"/>
      <c r="B85" s="97" t="s">
        <v>3871</v>
      </c>
      <c r="C85" s="97" t="s">
        <v>3872</v>
      </c>
      <c r="D85" s="50"/>
    </row>
    <row r="86" spans="1:4" x14ac:dyDescent="0.25">
      <c r="A86" s="52"/>
      <c r="B86" s="63" t="s">
        <v>3873</v>
      </c>
      <c r="C86" s="64">
        <f>E10</f>
        <v>743926</v>
      </c>
      <c r="D86" s="50"/>
    </row>
    <row r="87" spans="1:4" x14ac:dyDescent="0.25">
      <c r="A87" s="52"/>
      <c r="B87" s="63" t="s">
        <v>3874</v>
      </c>
      <c r="C87" s="64">
        <f>SUM(F10:K10)</f>
        <v>27574</v>
      </c>
      <c r="D87" s="50"/>
    </row>
    <row r="88" spans="1:4" x14ac:dyDescent="0.25">
      <c r="A88" s="52"/>
      <c r="B88" s="63" t="s">
        <v>3875</v>
      </c>
      <c r="C88" s="64">
        <f>B10+C10+D10</f>
        <v>12697</v>
      </c>
      <c r="D88" s="50"/>
    </row>
    <row r="89" spans="1:4" x14ac:dyDescent="0.25">
      <c r="B89" s="54"/>
      <c r="C89" s="54"/>
    </row>
  </sheetData>
  <phoneticPr fontId="27" type="noConversion"/>
  <conditionalFormatting sqref="B11:L11">
    <cfRule type="cellIs" dxfId="0" priority="1" operator="greaterThanOrEqual">
      <formula>0.01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8" ma:contentTypeDescription="Create a new document." ma:contentTypeScope="" ma:versionID="18cbd001cbf15444acc5a219c6a53da6">
  <xsd:schema xmlns:xsd="http://www.w3.org/2001/XMLSchema" xmlns:xs="http://www.w3.org/2001/XMLSchema" xmlns:p="http://schemas.microsoft.com/office/2006/metadata/properties" xmlns:ns2="14782296-9dce-483b-9f01-2c9c9b9a7db8" targetNamespace="http://schemas.microsoft.com/office/2006/metadata/properties" ma:root="true" ma:fieldsID="76d3edffe16ac05134dabbe3ee9e4bb7" ns2:_="">
    <xsd:import namespace="14782296-9dce-483b-9f01-2c9c9b9a7d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BA69F8-7A7A-4B8E-99E8-C9406A2B2549}">
  <ds:schemaRefs>
    <ds:schemaRef ds:uri="14782296-9dce-483b-9f01-2c9c9b9a7db8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223F5F2-71C1-41ED-8384-0CCD4E86C0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782296-9dce-483b-9f01-2c9c9b9a7d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6798A54-AE6A-4779-9E6E-EBB4D6AE81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Round 115</vt:lpstr>
      <vt:lpstr>Summary</vt:lpstr>
      <vt:lpstr>RETURNEE DATASET</vt:lpstr>
      <vt:lpstr>Period Of Displacement</vt:lpstr>
      <vt:lpstr>Shelter Type by Gov of Return</vt:lpstr>
      <vt:lpstr>District_of_Return</vt:lpstr>
      <vt:lpstr>Former_Displacement_Governorate_of_Return</vt:lpstr>
      <vt:lpstr>Gov_Last_Disp</vt:lpstr>
      <vt:lpstr>Period_Fromer_Displacement</vt:lpstr>
      <vt:lpstr>Shelter_Type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2017-01-26T10:07:40Z</dcterms:created>
  <dcterms:modified xsi:type="dcterms:W3CDTF">2020-07-12T12:53:09Z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6e7ee395-112c-4ae0-9fdd-a29c5c84fa4e</vt:lpwstr>
  </property>
  <property fmtid="{D5CDD505-2E9C-101B-9397-08002B2CF9AE}" pid="3" name="ContentTypeId">
    <vt:lpwstr>0x010100FFFA3987CB07BE459E6779E853AC6050</vt:lpwstr>
  </property>
  <property fmtid="{D5CDD505-2E9C-101B-9397-08002B2CF9AE}" pid="4" name="MSIP_Label_2059aa38-f392-4105-be92-628035578272_Enabled">
    <vt:lpwstr>true</vt:lpwstr>
  </property>
  <property fmtid="{D5CDD505-2E9C-101B-9397-08002B2CF9AE}" pid="5" name="MSIP_Label_2059aa38-f392-4105-be92-628035578272_SetDate">
    <vt:lpwstr>2020-07-12T12:53:08Z</vt:lpwstr>
  </property>
  <property fmtid="{D5CDD505-2E9C-101B-9397-08002B2CF9AE}" pid="6" name="MSIP_Label_2059aa38-f392-4105-be92-628035578272_Method">
    <vt:lpwstr>Standard</vt:lpwstr>
  </property>
  <property fmtid="{D5CDD505-2E9C-101B-9397-08002B2CF9AE}" pid="7" name="MSIP_Label_2059aa38-f392-4105-be92-628035578272_Name">
    <vt:lpwstr>IOMLb0020IN123173</vt:lpwstr>
  </property>
  <property fmtid="{D5CDD505-2E9C-101B-9397-08002B2CF9AE}" pid="8" name="MSIP_Label_2059aa38-f392-4105-be92-628035578272_SiteId">
    <vt:lpwstr>1588262d-23fb-43b4-bd6e-bce49c8e6186</vt:lpwstr>
  </property>
  <property fmtid="{D5CDD505-2E9C-101B-9397-08002B2CF9AE}" pid="9" name="MSIP_Label_2059aa38-f392-4105-be92-628035578272_ActionId">
    <vt:lpwstr>5590bc72-3f2c-4f85-9e22-00009e39c174</vt:lpwstr>
  </property>
  <property fmtid="{D5CDD505-2E9C-101B-9397-08002B2CF9AE}" pid="10" name="MSIP_Label_2059aa38-f392-4105-be92-628035578272_ContentBits">
    <vt:lpwstr>0</vt:lpwstr>
  </property>
</Properties>
</file>